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nakesha.francis\OneDrive - Houston Community College\Documents\ERS Benefits\"/>
    </mc:Choice>
  </mc:AlternateContent>
  <bookViews>
    <workbookView xWindow="0" yWindow="0" windowWidth="20490" windowHeight="7620"/>
  </bookViews>
  <sheets>
    <sheet name="Cost Estimator" sheetId="1" r:id="rId1"/>
    <sheet name="Health" sheetId="2" state="hidden" r:id="rId2"/>
    <sheet name="Vision" sheetId="6" state="hidden" r:id="rId3"/>
    <sheet name="Optional Term Life" sheetId="3" state="hidden" r:id="rId4"/>
    <sheet name="AD&amp;D" sheetId="4" state="hidden" r:id="rId5"/>
    <sheet name="Disability" sheetId="5" state="hidden" r:id="rId6"/>
  </sheets>
  <calcPr calcId="162913"/>
</workbook>
</file>

<file path=xl/calcChain.xml><?xml version="1.0" encoding="utf-8"?>
<calcChain xmlns="http://schemas.openxmlformats.org/spreadsheetml/2006/main">
  <c r="G4" i="5" l="1"/>
  <c r="A29" i="3"/>
  <c r="D2" i="6" l="1"/>
  <c r="B4" i="2"/>
  <c r="B85" i="4" l="1"/>
  <c r="B84" i="4"/>
  <c r="B80" i="4"/>
  <c r="B79" i="4"/>
  <c r="B78" i="4"/>
  <c r="B77" i="4"/>
  <c r="B76" i="4"/>
  <c r="B75" i="4"/>
  <c r="B74" i="4"/>
  <c r="B73" i="4"/>
  <c r="B72" i="4"/>
  <c r="B71" i="4"/>
  <c r="B70" i="4"/>
  <c r="B69" i="4"/>
  <c r="B68" i="4"/>
  <c r="B67" i="4"/>
  <c r="B66" i="4"/>
  <c r="B65" i="4"/>
  <c r="B64" i="4"/>
  <c r="B63" i="4"/>
  <c r="B62" i="4"/>
  <c r="B61" i="4"/>
  <c r="B60" i="4"/>
  <c r="B59" i="4"/>
  <c r="B58" i="4"/>
  <c r="B57" i="4"/>
  <c r="B56" i="4"/>
  <c r="B55" i="4"/>
  <c r="B54" i="4"/>
  <c r="B53" i="4"/>
  <c r="B52" i="4"/>
  <c r="B51" i="4"/>
  <c r="B50" i="4"/>
  <c r="B49" i="4"/>
  <c r="B48" i="4"/>
  <c r="B47" i="4"/>
  <c r="B46" i="4"/>
  <c r="B45" i="4"/>
  <c r="B44" i="4"/>
  <c r="B43" i="4"/>
  <c r="B42" i="4"/>
  <c r="B40" i="4"/>
  <c r="B39" i="4"/>
  <c r="B38" i="4"/>
  <c r="B37" i="4"/>
  <c r="B36" i="4"/>
  <c r="B35" i="4"/>
  <c r="B34" i="4"/>
  <c r="B33" i="4"/>
  <c r="B32" i="4"/>
  <c r="B31" i="4"/>
  <c r="B30" i="4"/>
  <c r="B29" i="4"/>
  <c r="B28" i="4"/>
  <c r="B27" i="4"/>
  <c r="B26" i="4"/>
  <c r="B25" i="4"/>
  <c r="B24" i="4"/>
  <c r="B23" i="4"/>
  <c r="B22" i="4"/>
  <c r="B21" i="4"/>
  <c r="B20" i="4"/>
  <c r="B19" i="4"/>
  <c r="B18" i="4"/>
  <c r="B17" i="4"/>
  <c r="B16" i="4"/>
  <c r="B15" i="4"/>
  <c r="B14" i="4"/>
  <c r="B13" i="4"/>
  <c r="B11" i="4"/>
  <c r="B12" i="4"/>
  <c r="B10" i="4"/>
  <c r="B9" i="4"/>
  <c r="B7" i="4"/>
  <c r="B8" i="4"/>
  <c r="B6" i="4"/>
  <c r="B5" i="4"/>
  <c r="B4" i="4"/>
  <c r="B3" i="4"/>
  <c r="B2" i="4"/>
  <c r="H15" i="1" l="1"/>
  <c r="D15" i="2"/>
  <c r="B4" i="5" l="1"/>
  <c r="A30" i="3" l="1"/>
  <c r="H17" i="1"/>
  <c r="H21" i="1"/>
  <c r="H20" i="1"/>
  <c r="F8" i="5"/>
  <c r="H27" i="1" s="1"/>
  <c r="A8" i="5"/>
  <c r="H25" i="1" s="1"/>
  <c r="H6" i="2"/>
  <c r="H23" i="1" s="1"/>
  <c r="H12" i="1"/>
  <c r="H9" i="1"/>
  <c r="I39" i="1" l="1"/>
  <c r="I41" i="1" s="1"/>
</calcChain>
</file>

<file path=xl/sharedStrings.xml><?xml version="1.0" encoding="utf-8"?>
<sst xmlns="http://schemas.openxmlformats.org/spreadsheetml/2006/main" count="181" uniqueCount="170">
  <si>
    <t>Waive Medical Coverage</t>
  </si>
  <si>
    <t>Waive and OPT OUT</t>
  </si>
  <si>
    <t xml:space="preserve">MEDICAL OUT-OF-POCKET COST PER MONTH  </t>
  </si>
  <si>
    <t>Available Options</t>
  </si>
  <si>
    <t>Employee Plan Option Cost</t>
  </si>
  <si>
    <t>Medical Options</t>
  </si>
  <si>
    <t>DENTAL OUT OF POCKET COST PER MONTH</t>
  </si>
  <si>
    <t>VOLUNTARY AD&amp;D COST PER MONTH</t>
  </si>
  <si>
    <t>OPTIONAL TERM LIFE INSURANCE COST PER MONTH</t>
  </si>
  <si>
    <t>DEPENDENT TERM LIFE COST PER MONTH</t>
  </si>
  <si>
    <t>SHORT TERM DISABILITY COST PER MONTH</t>
  </si>
  <si>
    <t>LONG TERM DESABILITY COST PER MONTH</t>
  </si>
  <si>
    <t>Enter Flat amount not to exceed $416</t>
  </si>
  <si>
    <t>HealthSelect You Only</t>
  </si>
  <si>
    <t>HealthSelect You + Spouse</t>
  </si>
  <si>
    <t>HealthSelect You  + Children</t>
  </si>
  <si>
    <t>HealthSelect You + Family</t>
  </si>
  <si>
    <t>Waive Dental</t>
  </si>
  <si>
    <t>State of Texas Dental Choice You Only</t>
  </si>
  <si>
    <t>State of Texas Dental Choice You + Spouse</t>
  </si>
  <si>
    <t xml:space="preserve">State of Texas Dental Choice You + Family </t>
  </si>
  <si>
    <t>State of Texas Dental Choice You + Children</t>
  </si>
  <si>
    <t>Dependent Options</t>
  </si>
  <si>
    <t>Waive Dependent Life</t>
  </si>
  <si>
    <t>Dependent Life</t>
  </si>
  <si>
    <t>Enter Annual Salary Amount</t>
  </si>
  <si>
    <t>Short Term Disability</t>
  </si>
  <si>
    <t>Waive STD</t>
  </si>
  <si>
    <t>Elect STD</t>
  </si>
  <si>
    <t>Long Term Disability</t>
  </si>
  <si>
    <t>Waive LTD</t>
  </si>
  <si>
    <t>Elect LTD</t>
  </si>
  <si>
    <t>TOTAL MONTHLY COST</t>
  </si>
  <si>
    <t>TOTAL COST PER PAY PERIOD</t>
  </si>
  <si>
    <t>Waive Optional Life</t>
  </si>
  <si>
    <t>Waive AD&amp;D Family</t>
  </si>
  <si>
    <t>Waive AD&amp;D You Only</t>
  </si>
  <si>
    <t>Benefit Cost Estimator</t>
  </si>
  <si>
    <t>Consumer Directed HDHP You Only</t>
  </si>
  <si>
    <t>Consumer Directed HDHP You + Spouse</t>
  </si>
  <si>
    <t>Consumer Directed HDHP You + Children</t>
  </si>
  <si>
    <t>Consumer Directed HDHP You + Family</t>
  </si>
  <si>
    <t>VISION OUT OF POCKET COST PER MONTH</t>
  </si>
  <si>
    <t>Waive Vision Coverage</t>
  </si>
  <si>
    <t>State of Texas Vision You Only</t>
  </si>
  <si>
    <t>State of Texas Vision You + Spouse</t>
  </si>
  <si>
    <t>State of Texas Vision You + Children</t>
  </si>
  <si>
    <t>State of Texas Vision You + Family</t>
  </si>
  <si>
    <t>FSA DEPENDENT CARE COST PER MONTH</t>
  </si>
  <si>
    <t>FSA LIMITED HEALTHCARE COST PER MONTH</t>
  </si>
  <si>
    <t>HEALTH SAVINGS ACCOUNT PER MONTH</t>
  </si>
  <si>
    <t xml:space="preserve">Enter Flat amount </t>
  </si>
  <si>
    <t>EMPLOYEE FSA HEALTHCARE</t>
  </si>
  <si>
    <t xml:space="preserve">EMPLOYEE FSA DEPENDENT CARE </t>
  </si>
  <si>
    <t>Age 18-29 1x's Annual Salary</t>
  </si>
  <si>
    <t>Age 30-39 1x's Annual Salary</t>
  </si>
  <si>
    <t>Age 40-44 1x's Annual Salary</t>
  </si>
  <si>
    <t>Age 45-49 1x's Annual Salary</t>
  </si>
  <si>
    <t>Age 50-54 1x's Annual Salary</t>
  </si>
  <si>
    <t>Age 55-59 1x's Annual Salary</t>
  </si>
  <si>
    <t>Age 60-64 1x's Annual Salary</t>
  </si>
  <si>
    <t>Age 65-69 1x's Annual Salary</t>
  </si>
  <si>
    <t>Age 70-74 1x's Annual Salary</t>
  </si>
  <si>
    <t>Age 75-79 1x's Annual Salary</t>
  </si>
  <si>
    <t>Age 80-84 1x's Annual Salary</t>
  </si>
  <si>
    <t>Age 85-89 1x's Annual Salary</t>
  </si>
  <si>
    <t>Age 90+     1x's Annual Salary</t>
  </si>
  <si>
    <t>Age 18-29 2x's Annual Salary</t>
  </si>
  <si>
    <t>Age 30-39 2x's Annual Salary</t>
  </si>
  <si>
    <t>Age 40-44 2x's Annual Salary</t>
  </si>
  <si>
    <t>Age 45-49 2x's Annual Salary</t>
  </si>
  <si>
    <t>Age 50-54 2x's Annual Salary</t>
  </si>
  <si>
    <t>Age 55-59 2x's Annual Salary</t>
  </si>
  <si>
    <t>Age 60-64 2x's Annual Salary</t>
  </si>
  <si>
    <t>Age 65-69 2x's Annual Salary</t>
  </si>
  <si>
    <t>Age 70-74 2x's Annual Salary</t>
  </si>
  <si>
    <t>Age 75-79 2x's Annual Salary</t>
  </si>
  <si>
    <t>Age 80-84 2x's Annual Salary</t>
  </si>
  <si>
    <t>Age 85-89 2x's Annual Salary</t>
  </si>
  <si>
    <t>Age 90+     2x's Annual Salary</t>
  </si>
  <si>
    <t>Choose Either 1x's or 2x's your Annual Salary</t>
  </si>
  <si>
    <t>$10,000  You Only</t>
  </si>
  <si>
    <t>$15,000  You Only</t>
  </si>
  <si>
    <t xml:space="preserve">$20,000  You Only </t>
  </si>
  <si>
    <t>$25,000  You Only</t>
  </si>
  <si>
    <t>$30,000  You Only</t>
  </si>
  <si>
    <t>$35,000  You Only</t>
  </si>
  <si>
    <t>$40,000  You Only</t>
  </si>
  <si>
    <t>$45,000  You Only</t>
  </si>
  <si>
    <t>$50,000 You Only</t>
  </si>
  <si>
    <t>$55,000 You Only</t>
  </si>
  <si>
    <t>$60,000 You Only</t>
  </si>
  <si>
    <t>$65,000 You Only</t>
  </si>
  <si>
    <t>$70,000 You Only</t>
  </si>
  <si>
    <t>$75,000 You Only</t>
  </si>
  <si>
    <t>$80,000 You Only</t>
  </si>
  <si>
    <t>$85,000 You Only</t>
  </si>
  <si>
    <t>$90,000 You Only</t>
  </si>
  <si>
    <t>$95,000 You Only</t>
  </si>
  <si>
    <t>$100,000 You Only</t>
  </si>
  <si>
    <t>$105,000 You Only</t>
  </si>
  <si>
    <t>$110,000 You Only</t>
  </si>
  <si>
    <t>$115,000 You Only</t>
  </si>
  <si>
    <t>$120,000 You Only</t>
  </si>
  <si>
    <t>$125,000 You Only</t>
  </si>
  <si>
    <t>$130,000 You Only</t>
  </si>
  <si>
    <t>$135,000 You Only</t>
  </si>
  <si>
    <t>$140,000 You Only</t>
  </si>
  <si>
    <t>$145,000 You Only</t>
  </si>
  <si>
    <t>$150,000 You Only</t>
  </si>
  <si>
    <t>$155,000 You Only</t>
  </si>
  <si>
    <t>$160,000 You Only</t>
  </si>
  <si>
    <t>$165,000 You Only</t>
  </si>
  <si>
    <t>$170,000 You Only</t>
  </si>
  <si>
    <t>$175,000 You Only</t>
  </si>
  <si>
    <t>$180,000 You Only</t>
  </si>
  <si>
    <t>$185,000 You Only</t>
  </si>
  <si>
    <t>$190,000 You Only</t>
  </si>
  <si>
    <t>$195,000 You Only</t>
  </si>
  <si>
    <t>$200,000 You Only</t>
  </si>
  <si>
    <t>$10,000  Family</t>
  </si>
  <si>
    <t>$15,000 Family</t>
  </si>
  <si>
    <t>$20,000 Family</t>
  </si>
  <si>
    <t>$25,000 Family</t>
  </si>
  <si>
    <t>$30,000 Family</t>
  </si>
  <si>
    <t>$35,000 Family</t>
  </si>
  <si>
    <t>$40,000 Family</t>
  </si>
  <si>
    <t>$45,000 Family</t>
  </si>
  <si>
    <t>$50,000 Family</t>
  </si>
  <si>
    <t>$55,000 Family</t>
  </si>
  <si>
    <t>$60,000 Family</t>
  </si>
  <si>
    <t>$65,000 Family</t>
  </si>
  <si>
    <t>$70,000 Family</t>
  </si>
  <si>
    <t>$75,000 Family</t>
  </si>
  <si>
    <t>$80,000 Family</t>
  </si>
  <si>
    <t>$85,000 Family</t>
  </si>
  <si>
    <t>$90,000 Family</t>
  </si>
  <si>
    <t>$95,000 Family</t>
  </si>
  <si>
    <t>$100,000 Family</t>
  </si>
  <si>
    <t>$105,000 Family</t>
  </si>
  <si>
    <t>$110,000 Family</t>
  </si>
  <si>
    <t>$115,000 Family</t>
  </si>
  <si>
    <t>$120,000 Family</t>
  </si>
  <si>
    <t>$125,000 Family</t>
  </si>
  <si>
    <t>$130,000 Family</t>
  </si>
  <si>
    <t>$135,000 Family</t>
  </si>
  <si>
    <t>$140,000 Family</t>
  </si>
  <si>
    <t>$145,000 Family</t>
  </si>
  <si>
    <t>$150,000 Family</t>
  </si>
  <si>
    <t>$155,000 Family</t>
  </si>
  <si>
    <t>$160,000 Family</t>
  </si>
  <si>
    <t>$165,000 Family</t>
  </si>
  <si>
    <t>$170,000 Family</t>
  </si>
  <si>
    <t>$175,000 Family</t>
  </si>
  <si>
    <t>$180,000 Family</t>
  </si>
  <si>
    <t>$185,000 Family</t>
  </si>
  <si>
    <t>$190,000 Family</t>
  </si>
  <si>
    <t>$195,000 Family</t>
  </si>
  <si>
    <t>$200,000 Family</t>
  </si>
  <si>
    <t>Choose Either You Only or Family Level Coverage</t>
  </si>
  <si>
    <t xml:space="preserve">FSA HEALTHCARE COST PER MONTH </t>
  </si>
  <si>
    <r>
      <t xml:space="preserve">EMPLOYEE HEALTH SAVINGS (HSA)      </t>
    </r>
    <r>
      <rPr>
        <sz val="8"/>
        <color theme="1"/>
        <rFont val="Arial"/>
        <family val="2"/>
      </rPr>
      <t>(Only enter an amount for HSA if you elected the Consumer Directed HealthSelect Plan)</t>
    </r>
  </si>
  <si>
    <r>
      <t xml:space="preserve">EMPLOYEE FSA LIMITED HEALTHCARE </t>
    </r>
    <r>
      <rPr>
        <sz val="8"/>
        <color theme="1"/>
        <rFont val="Arial"/>
        <family val="2"/>
      </rPr>
      <t>(Only enter an amount for FSA Limiited if you elected the Consumer Directed HealthSelect Plan)</t>
    </r>
  </si>
  <si>
    <r>
      <t xml:space="preserve">The Benefit Cost Estimator allows an employee to predetermine cost prior to attending New Hire Onboarding.  By entering your annual salary and selecting available options for Health and Optional Benefits, the estimator will provide an estimated monthly cost and per payroll cost for elected benefits.  </t>
    </r>
    <r>
      <rPr>
        <b/>
        <u/>
        <sz val="11"/>
        <color theme="1"/>
        <rFont val="Arial"/>
        <family val="2"/>
      </rPr>
      <t>This is an estimate only.  Cost may change.</t>
    </r>
  </si>
  <si>
    <t>DeltaCare USA DHMO You Only</t>
  </si>
  <si>
    <t>DeltaCare USA DHMO You Only+Spouse</t>
  </si>
  <si>
    <t>DeltaCare USA DHMO You Only+Children</t>
  </si>
  <si>
    <t>DeltaCare USA DHMO You Only + Family</t>
  </si>
  <si>
    <t>Enter Flat amount not to exceed $225</t>
  </si>
  <si>
    <t>Plan Year 2022 - 2023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</si>
</sst>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7" formatCode="&quot;$&quot;#,##0.00_);\(&quot;$&quot;#,##0.00\)"/>
    <numFmt numFmtId="44" formatCode="_(&quot;$&quot;* #,##0.00_);_(&quot;$&quot;* \(#,##0.00\);_(&quot;$&quot;* &quot;-&quot;??_);_(@_)"/>
    <numFmt numFmtId="164" formatCode="&quot;$&quot;#,##0.00"/>
  </numFmts>
  <fonts count="9"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4"/>
      <color theme="1"/>
      <name val="Arial"/>
      <family val="2"/>
    </font>
    <font>
      <sz val="12"/>
      <color theme="1"/>
      <name val="Arial"/>
      <family val="2"/>
    </font>
    <font>
      <b/>
      <sz val="11"/>
      <color theme="0"/>
      <name val="Arial"/>
      <family val="2"/>
    </font>
    <font>
      <sz val="8"/>
      <color theme="1"/>
      <name val="Arial"/>
      <family val="2"/>
    </font>
    <font>
      <b/>
      <u/>
      <sz val="11"/>
      <color theme="1"/>
      <name val="Arial"/>
      <family val="2"/>
    </font>
  </fonts>
  <fills count="4">
    <fill>
      <patternFill patternType="none"/>
    </fill>
    <fill>
      <patternFill patternType="gray125"/>
    </fill>
    <fill>
      <patternFill patternType="solid">
        <fgColor rgb="FFFFFF00"/>
        <bgColor indexed="64"/>
      </patternFill>
    </fill>
    <fill>
      <patternFill patternType="solid">
        <fgColor theme="1"/>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84">
    <xf numFmtId="0" fontId="0" fillId="0" borderId="0" xfId="0"/>
    <xf numFmtId="0" fontId="0" fillId="0" borderId="1" xfId="0" applyBorder="1"/>
    <xf numFmtId="0" fontId="0" fillId="2" borderId="0" xfId="0" applyFill="1"/>
    <xf numFmtId="3" fontId="0" fillId="0" borderId="0" xfId="0" applyNumberFormat="1"/>
    <xf numFmtId="0" fontId="2" fillId="0" borderId="0" xfId="0" applyFont="1"/>
    <xf numFmtId="0" fontId="2" fillId="0" borderId="0" xfId="0" applyFont="1" applyBorder="1" applyAlignment="1">
      <alignment horizontal="center"/>
    </xf>
    <xf numFmtId="0" fontId="2" fillId="0" borderId="3" xfId="0" applyFont="1" applyBorder="1" applyAlignment="1"/>
    <xf numFmtId="0" fontId="2" fillId="0" borderId="6" xfId="0" applyFont="1" applyBorder="1" applyAlignment="1"/>
    <xf numFmtId="164" fontId="0" fillId="0" borderId="0" xfId="0" applyNumberFormat="1"/>
    <xf numFmtId="0" fontId="2" fillId="0" borderId="3" xfId="0" applyFont="1" applyBorder="1" applyAlignment="1">
      <alignment horizontal="center"/>
    </xf>
    <xf numFmtId="0" fontId="2" fillId="0" borderId="3" xfId="0" applyFont="1" applyBorder="1" applyAlignment="1">
      <alignment horizontal="center" wrapText="1"/>
    </xf>
    <xf numFmtId="0" fontId="2" fillId="0" borderId="7" xfId="0" applyFont="1" applyBorder="1" applyAlignment="1">
      <alignment horizontal="center" wrapText="1"/>
    </xf>
    <xf numFmtId="0" fontId="2" fillId="0" borderId="9" xfId="0" applyFont="1" applyBorder="1" applyAlignment="1">
      <alignment horizontal="center"/>
    </xf>
    <xf numFmtId="40" fontId="0" fillId="0" borderId="0" xfId="0" applyNumberFormat="1"/>
    <xf numFmtId="2" fontId="0" fillId="0" borderId="0" xfId="0" applyNumberFormat="1"/>
    <xf numFmtId="6" fontId="0" fillId="0" borderId="0" xfId="0" applyNumberFormat="1"/>
    <xf numFmtId="164" fontId="2" fillId="0" borderId="20" xfId="0" applyNumberFormat="1" applyFont="1" applyBorder="1"/>
    <xf numFmtId="7" fontId="2" fillId="0" borderId="20" xfId="1" applyNumberFormat="1" applyFont="1" applyBorder="1"/>
    <xf numFmtId="0" fontId="2" fillId="0" borderId="2" xfId="0" applyFont="1" applyBorder="1" applyAlignment="1" applyProtection="1">
      <protection locked="0"/>
    </xf>
    <xf numFmtId="0" fontId="2" fillId="0" borderId="15" xfId="0" applyFont="1" applyBorder="1" applyAlignment="1" applyProtection="1"/>
    <xf numFmtId="0" fontId="2" fillId="0" borderId="16" xfId="0" applyFont="1" applyBorder="1" applyAlignment="1" applyProtection="1"/>
    <xf numFmtId="0" fontId="2" fillId="0" borderId="10" xfId="0" applyFont="1" applyBorder="1" applyAlignment="1">
      <alignment horizontal="center"/>
    </xf>
    <xf numFmtId="0" fontId="2" fillId="0" borderId="6" xfId="0" applyFont="1" applyBorder="1" applyAlignment="1">
      <alignment horizontal="center"/>
    </xf>
    <xf numFmtId="0" fontId="2" fillId="0" borderId="8" xfId="0" applyFont="1" applyBorder="1" applyAlignment="1">
      <alignment horizontal="center"/>
    </xf>
    <xf numFmtId="0" fontId="2" fillId="0" borderId="0" xfId="0" applyFont="1" applyBorder="1" applyAlignment="1">
      <alignment horizontal="center"/>
    </xf>
    <xf numFmtId="0" fontId="3" fillId="0" borderId="3" xfId="0" applyFont="1" applyBorder="1" applyAlignment="1">
      <alignment horizontal="center"/>
    </xf>
    <xf numFmtId="0" fontId="2" fillId="0" borderId="3" xfId="0" applyFont="1" applyBorder="1" applyAlignment="1" applyProtection="1">
      <alignment horizontal="center" wrapText="1"/>
    </xf>
    <xf numFmtId="0" fontId="2" fillId="0" borderId="13" xfId="0" applyFont="1" applyBorder="1" applyAlignment="1" applyProtection="1">
      <alignment horizontal="center" wrapText="1"/>
    </xf>
    <xf numFmtId="0" fontId="2" fillId="0" borderId="16" xfId="0" applyFont="1" applyBorder="1" applyAlignment="1" applyProtection="1">
      <alignment horizontal="center" wrapText="1"/>
    </xf>
    <xf numFmtId="0" fontId="6" fillId="3" borderId="4" xfId="0" applyFont="1" applyFill="1" applyBorder="1" applyAlignment="1">
      <alignment horizontal="center"/>
    </xf>
    <xf numFmtId="0" fontId="6" fillId="3" borderId="2" xfId="0" applyFont="1" applyFill="1" applyBorder="1" applyAlignment="1">
      <alignment horizontal="center"/>
    </xf>
    <xf numFmtId="0" fontId="6" fillId="3" borderId="5" xfId="0" applyFont="1" applyFill="1" applyBorder="1" applyAlignment="1">
      <alignment horizontal="center"/>
    </xf>
    <xf numFmtId="0" fontId="6" fillId="3" borderId="9" xfId="0" applyFont="1" applyFill="1" applyBorder="1" applyAlignment="1">
      <alignment horizontal="center"/>
    </xf>
    <xf numFmtId="0" fontId="6" fillId="3" borderId="3" xfId="0" applyFont="1" applyFill="1" applyBorder="1" applyAlignment="1">
      <alignment horizontal="center"/>
    </xf>
    <xf numFmtId="0" fontId="6" fillId="3" borderId="7" xfId="0" applyFont="1" applyFill="1" applyBorder="1" applyAlignment="1">
      <alignment horizontal="center"/>
    </xf>
    <xf numFmtId="164" fontId="2" fillId="0" borderId="2" xfId="0" applyNumberFormat="1" applyFont="1" applyBorder="1" applyAlignment="1">
      <alignment horizontal="center"/>
    </xf>
    <xf numFmtId="164" fontId="2" fillId="0" borderId="5" xfId="0" applyNumberFormat="1" applyFont="1" applyBorder="1" applyAlignment="1">
      <alignment horizontal="center"/>
    </xf>
    <xf numFmtId="164" fontId="2" fillId="0" borderId="3" xfId="0" applyNumberFormat="1" applyFont="1" applyBorder="1" applyAlignment="1">
      <alignment horizontal="center"/>
    </xf>
    <xf numFmtId="164" fontId="2" fillId="0" borderId="7" xfId="0" applyNumberFormat="1" applyFont="1" applyBorder="1" applyAlignment="1">
      <alignment horizontal="center"/>
    </xf>
    <xf numFmtId="164" fontId="2" fillId="0" borderId="4" xfId="0" applyNumberFormat="1" applyFont="1" applyBorder="1" applyAlignment="1" applyProtection="1">
      <alignment horizontal="left"/>
      <protection locked="0"/>
    </xf>
    <xf numFmtId="164" fontId="2" fillId="0" borderId="2" xfId="0" applyNumberFormat="1" applyFont="1" applyBorder="1" applyAlignment="1" applyProtection="1">
      <alignment horizontal="left"/>
      <protection locked="0"/>
    </xf>
    <xf numFmtId="44" fontId="2" fillId="0" borderId="4" xfId="1" applyFont="1" applyBorder="1" applyAlignment="1" applyProtection="1">
      <protection locked="0"/>
    </xf>
    <xf numFmtId="44" fontId="2" fillId="0" borderId="2" xfId="1" applyFont="1" applyBorder="1" applyAlignment="1" applyProtection="1">
      <protection locked="0"/>
    </xf>
    <xf numFmtId="0" fontId="2" fillId="0" borderId="4"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9"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0" borderId="9" xfId="0" applyFont="1" applyBorder="1" applyAlignment="1" applyProtection="1">
      <alignment horizontal="left"/>
    </xf>
    <xf numFmtId="0" fontId="2" fillId="0" borderId="3" xfId="0" applyFont="1" applyBorder="1" applyAlignment="1" applyProtection="1">
      <alignment horizontal="left"/>
    </xf>
    <xf numFmtId="0" fontId="2" fillId="0" borderId="13" xfId="0" applyFont="1" applyBorder="1" applyAlignment="1" applyProtection="1">
      <alignment horizontal="center"/>
      <protection locked="0"/>
    </xf>
    <xf numFmtId="0" fontId="2" fillId="0" borderId="14" xfId="0" applyFont="1" applyBorder="1" applyAlignment="1" applyProtection="1">
      <alignment horizontal="center"/>
      <protection locked="0"/>
    </xf>
    <xf numFmtId="0" fontId="2" fillId="0" borderId="16" xfId="0" applyFont="1" applyBorder="1" applyAlignment="1" applyProtection="1">
      <alignment horizontal="center"/>
      <protection locked="0"/>
    </xf>
    <xf numFmtId="0" fontId="2" fillId="0" borderId="17" xfId="0" applyFont="1" applyBorder="1" applyAlignment="1" applyProtection="1">
      <alignment horizontal="center"/>
      <protection locked="0"/>
    </xf>
    <xf numFmtId="164" fontId="2" fillId="0" borderId="2" xfId="1" applyNumberFormat="1" applyFont="1" applyBorder="1" applyAlignment="1">
      <alignment horizontal="center"/>
    </xf>
    <xf numFmtId="164" fontId="2" fillId="0" borderId="5" xfId="1" applyNumberFormat="1" applyFont="1" applyBorder="1" applyAlignment="1">
      <alignment horizontal="center"/>
    </xf>
    <xf numFmtId="0" fontId="2" fillId="0" borderId="3"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9" xfId="0" applyFont="1" applyBorder="1" applyAlignment="1" applyProtection="1">
      <alignment horizontal="left" wrapText="1"/>
    </xf>
    <xf numFmtId="0" fontId="2" fillId="0" borderId="3" xfId="0" applyFont="1" applyBorder="1" applyAlignment="1" applyProtection="1">
      <alignment horizontal="left" wrapText="1"/>
    </xf>
    <xf numFmtId="0" fontId="7" fillId="0" borderId="3" xfId="0" applyFont="1" applyBorder="1" applyAlignment="1">
      <alignment horizontal="center" wrapText="1"/>
    </xf>
    <xf numFmtId="0" fontId="7" fillId="0" borderId="6" xfId="0" applyFont="1" applyBorder="1" applyAlignment="1">
      <alignment horizontal="center" wrapText="1"/>
    </xf>
    <xf numFmtId="0" fontId="2" fillId="0" borderId="3" xfId="0" applyFont="1" applyBorder="1" applyAlignment="1">
      <alignment horizontal="center"/>
    </xf>
    <xf numFmtId="0" fontId="2" fillId="0" borderId="11" xfId="0" applyFont="1" applyBorder="1" applyAlignment="1" applyProtection="1">
      <alignment horizontal="left"/>
      <protection locked="0"/>
    </xf>
    <xf numFmtId="0" fontId="2" fillId="0" borderId="0" xfId="0" applyFont="1" applyBorder="1" applyAlignment="1" applyProtection="1">
      <alignment horizontal="left"/>
      <protection locked="0"/>
    </xf>
    <xf numFmtId="0" fontId="5" fillId="0" borderId="0" xfId="0" applyFont="1" applyAlignment="1" applyProtection="1">
      <alignment horizontal="center"/>
      <protection locked="0"/>
    </xf>
    <xf numFmtId="0" fontId="3" fillId="0" borderId="18" xfId="0" applyFont="1" applyBorder="1" applyAlignment="1" applyProtection="1">
      <alignment horizontal="center" wrapText="1"/>
    </xf>
    <xf numFmtId="0" fontId="3" fillId="0" borderId="19" xfId="0" applyFont="1" applyBorder="1" applyAlignment="1" applyProtection="1">
      <alignment horizontal="center" wrapText="1"/>
    </xf>
    <xf numFmtId="164" fontId="2" fillId="0" borderId="19" xfId="0" applyNumberFormat="1" applyFont="1" applyBorder="1" applyAlignment="1" applyProtection="1">
      <alignment horizontal="center"/>
      <protection locked="0"/>
    </xf>
    <xf numFmtId="164" fontId="2" fillId="0" borderId="20" xfId="0" applyNumberFormat="1" applyFont="1" applyBorder="1" applyAlignment="1" applyProtection="1">
      <alignment horizontal="center"/>
      <protection locked="0"/>
    </xf>
    <xf numFmtId="0" fontId="7" fillId="0" borderId="2" xfId="0" applyFont="1" applyBorder="1" applyAlignment="1">
      <alignment horizontal="center" wrapText="1"/>
    </xf>
    <xf numFmtId="0" fontId="2" fillId="0" borderId="18" xfId="0" applyFont="1" applyBorder="1" applyAlignment="1">
      <alignment horizontal="center" wrapText="1"/>
    </xf>
    <xf numFmtId="0" fontId="2" fillId="0" borderId="19" xfId="0" applyFont="1" applyBorder="1" applyAlignment="1">
      <alignment horizontal="center" wrapText="1"/>
    </xf>
    <xf numFmtId="0" fontId="2" fillId="0" borderId="0" xfId="0" applyFont="1" applyAlignment="1">
      <alignment horizontal="center"/>
    </xf>
    <xf numFmtId="0" fontId="2" fillId="0" borderId="16" xfId="0" applyFont="1" applyBorder="1" applyAlignment="1">
      <alignment horizontal="center"/>
    </xf>
    <xf numFmtId="0" fontId="2" fillId="0" borderId="12" xfId="0" applyFont="1" applyBorder="1" applyAlignment="1" applyProtection="1">
      <alignment horizontal="left" wrapText="1"/>
    </xf>
    <xf numFmtId="0" fontId="2" fillId="0" borderId="13" xfId="0" applyFont="1" applyBorder="1" applyAlignment="1" applyProtection="1">
      <alignment horizontal="left" wrapText="1"/>
    </xf>
    <xf numFmtId="0" fontId="2" fillId="0" borderId="13" xfId="0" applyFont="1" applyBorder="1" applyAlignment="1" applyProtection="1">
      <alignment horizontal="left" vertical="top" wrapText="1"/>
    </xf>
    <xf numFmtId="0" fontId="2" fillId="0" borderId="6" xfId="0" applyFont="1" applyBorder="1" applyAlignment="1" applyProtection="1">
      <alignment horizontal="left" vertical="top"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4" xfId="0" applyFont="1" applyBorder="1" applyAlignment="1">
      <alignment horizontal="center" wrapText="1"/>
    </xf>
    <xf numFmtId="0" fontId="3" fillId="0" borderId="5" xfId="0" applyFont="1" applyBorder="1" applyAlignment="1">
      <alignment horizontal="center" wrapText="1"/>
    </xf>
    <xf numFmtId="0" fontId="2" fillId="0" borderId="2" xfId="0" applyFont="1" applyBorder="1" applyAlignment="1">
      <alignment horizontal="center"/>
    </xf>
    <xf numFmtId="0" fontId="4" fillId="0" borderId="0" xfId="0" applyFont="1" applyAlignment="1" applyProtection="1">
      <alignment horizont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1</xdr:col>
      <xdr:colOff>904874</xdr:colOff>
      <xdr:row>4</xdr:row>
      <xdr:rowOff>114300</xdr:rowOff>
    </xdr:to>
    <xdr:pic>
      <xdr:nvPicPr>
        <xdr:cNvPr id="2" name="Picture 1" descr="C:\Users\nakesha.francis\Pictures\HCC Logo.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0"/>
          <a:ext cx="2590799" cy="13906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41"/>
  <sheetViews>
    <sheetView tabSelected="1" zoomScaleNormal="100" workbookViewId="0">
      <selection activeCell="H3" sqref="H3:I3"/>
    </sheetView>
  </sheetViews>
  <sheetFormatPr defaultRowHeight="14.25" x14ac:dyDescent="0.2"/>
  <cols>
    <col min="1" max="1" width="27.42578125" style="4" customWidth="1"/>
    <col min="2" max="2" width="15.28515625" style="4" customWidth="1"/>
    <col min="3" max="3" width="6" style="4" hidden="1" customWidth="1"/>
    <col min="4" max="4" width="5.140625" style="4" customWidth="1"/>
    <col min="5" max="5" width="6.7109375" style="4" customWidth="1"/>
    <col min="6" max="6" width="7.28515625" style="4" customWidth="1"/>
    <col min="7" max="7" width="6.140625" style="4" customWidth="1"/>
    <col min="8" max="8" width="9.85546875" style="4" bestFit="1" customWidth="1"/>
    <col min="9" max="9" width="11.28515625" style="4" customWidth="1"/>
    <col min="10" max="16384" width="9.140625" style="4"/>
  </cols>
  <sheetData>
    <row r="1" spans="1:9" ht="23.25" customHeight="1" x14ac:dyDescent="0.25">
      <c r="A1" s="72"/>
      <c r="B1" s="72"/>
      <c r="C1" s="72"/>
      <c r="D1" s="83" t="s">
        <v>37</v>
      </c>
      <c r="E1" s="83"/>
      <c r="F1" s="83"/>
      <c r="G1" s="83"/>
      <c r="H1" s="83"/>
      <c r="I1" s="83"/>
    </row>
    <row r="2" spans="1:9" ht="18" customHeight="1" x14ac:dyDescent="0.2">
      <c r="A2" s="72"/>
      <c r="B2" s="72"/>
      <c r="C2" s="72"/>
      <c r="D2" s="64" t="s">
        <v>169</v>
      </c>
      <c r="E2" s="64"/>
      <c r="F2" s="64"/>
      <c r="G2" s="64"/>
      <c r="H2" s="64"/>
      <c r="I2" s="64"/>
    </row>
    <row r="3" spans="1:9" ht="31.5" customHeight="1" x14ac:dyDescent="0.25">
      <c r="A3" s="72"/>
      <c r="B3" s="72"/>
      <c r="C3" s="72"/>
      <c r="D3" s="65" t="s">
        <v>25</v>
      </c>
      <c r="E3" s="66"/>
      <c r="F3" s="66"/>
      <c r="G3" s="66"/>
      <c r="H3" s="67"/>
      <c r="I3" s="68"/>
    </row>
    <row r="4" spans="1:9" ht="27.75" customHeight="1" x14ac:dyDescent="0.2">
      <c r="A4" s="72"/>
      <c r="B4" s="72"/>
      <c r="C4" s="72"/>
      <c r="D4" s="76" t="s">
        <v>163</v>
      </c>
      <c r="E4" s="76"/>
      <c r="F4" s="76"/>
      <c r="G4" s="76"/>
      <c r="H4" s="76"/>
      <c r="I4" s="76"/>
    </row>
    <row r="5" spans="1:9" ht="97.5" customHeight="1" thickBot="1" x14ac:dyDescent="0.25">
      <c r="A5" s="22"/>
      <c r="B5" s="22"/>
      <c r="C5" s="22"/>
      <c r="D5" s="77"/>
      <c r="E5" s="77"/>
      <c r="F5" s="77"/>
      <c r="G5" s="77"/>
      <c r="H5" s="77"/>
      <c r="I5" s="77"/>
    </row>
    <row r="6" spans="1:9" ht="18" customHeight="1" thickBot="1" x14ac:dyDescent="0.3">
      <c r="A6" s="29" t="s">
        <v>2</v>
      </c>
      <c r="B6" s="30"/>
      <c r="C6" s="30"/>
      <c r="D6" s="30"/>
      <c r="E6" s="30"/>
      <c r="F6" s="30"/>
      <c r="G6" s="30"/>
      <c r="H6" s="30"/>
      <c r="I6" s="31"/>
    </row>
    <row r="7" spans="1:9" ht="28.5" customHeight="1" thickBot="1" x14ac:dyDescent="0.3">
      <c r="A7" s="78" t="s">
        <v>3</v>
      </c>
      <c r="B7" s="79"/>
      <c r="C7" s="82"/>
      <c r="D7" s="82"/>
      <c r="E7" s="82"/>
      <c r="F7" s="82"/>
      <c r="G7" s="82"/>
      <c r="H7" s="80" t="s">
        <v>4</v>
      </c>
      <c r="I7" s="81"/>
    </row>
    <row r="8" spans="1:9" ht="2.25" customHeight="1" thickBot="1" x14ac:dyDescent="0.25">
      <c r="A8" s="12"/>
      <c r="B8" s="9"/>
      <c r="C8" s="9"/>
      <c r="D8" s="9"/>
      <c r="E8" s="9"/>
      <c r="F8" s="9"/>
      <c r="G8" s="9"/>
      <c r="H8" s="10"/>
      <c r="I8" s="11"/>
    </row>
    <row r="9" spans="1:9" ht="26.25" customHeight="1" x14ac:dyDescent="0.2">
      <c r="A9" s="45" t="s">
        <v>0</v>
      </c>
      <c r="B9" s="46"/>
      <c r="C9" s="61"/>
      <c r="D9" s="61"/>
      <c r="E9" s="61"/>
      <c r="F9" s="61"/>
      <c r="G9" s="61"/>
      <c r="H9" s="37">
        <f>Health!B4</f>
        <v>0</v>
      </c>
      <c r="I9" s="38"/>
    </row>
    <row r="10" spans="1:9" ht="2.25" customHeight="1" thickBot="1" x14ac:dyDescent="0.25">
      <c r="A10" s="21"/>
      <c r="B10" s="22"/>
      <c r="C10" s="22"/>
      <c r="D10" s="22"/>
      <c r="E10" s="22"/>
      <c r="F10" s="22"/>
      <c r="G10" s="22"/>
      <c r="H10" s="22"/>
      <c r="I10" s="23"/>
    </row>
    <row r="11" spans="1:9" ht="22.5" customHeight="1" thickBot="1" x14ac:dyDescent="0.3">
      <c r="A11" s="29" t="s">
        <v>6</v>
      </c>
      <c r="B11" s="30"/>
      <c r="C11" s="30"/>
      <c r="D11" s="30"/>
      <c r="E11" s="30"/>
      <c r="F11" s="30"/>
      <c r="G11" s="30"/>
      <c r="H11" s="30"/>
      <c r="I11" s="31"/>
    </row>
    <row r="12" spans="1:9" ht="26.25" customHeight="1" x14ac:dyDescent="0.2">
      <c r="A12" s="45" t="s">
        <v>17</v>
      </c>
      <c r="B12" s="46"/>
      <c r="C12" s="61"/>
      <c r="D12" s="61"/>
      <c r="E12" s="61"/>
      <c r="F12" s="61"/>
      <c r="G12" s="61"/>
      <c r="H12" s="37">
        <f>Health!D15</f>
        <v>0</v>
      </c>
      <c r="I12" s="38"/>
    </row>
    <row r="13" spans="1:9" ht="3" customHeight="1" thickBot="1" x14ac:dyDescent="0.25">
      <c r="A13" s="21"/>
      <c r="B13" s="22"/>
      <c r="C13" s="22"/>
      <c r="D13" s="22"/>
      <c r="E13" s="22"/>
      <c r="F13" s="22"/>
      <c r="G13" s="22"/>
      <c r="H13" s="22"/>
      <c r="I13" s="23"/>
    </row>
    <row r="14" spans="1:9" ht="22.5" customHeight="1" thickBot="1" x14ac:dyDescent="0.3">
      <c r="A14" s="29" t="s">
        <v>42</v>
      </c>
      <c r="B14" s="30"/>
      <c r="C14" s="30"/>
      <c r="D14" s="30"/>
      <c r="E14" s="30"/>
      <c r="F14" s="30"/>
      <c r="G14" s="30"/>
      <c r="H14" s="30"/>
      <c r="I14" s="31"/>
    </row>
    <row r="15" spans="1:9" ht="26.25" customHeight="1" thickBot="1" x14ac:dyDescent="0.25">
      <c r="A15" s="45" t="s">
        <v>43</v>
      </c>
      <c r="B15" s="46"/>
      <c r="C15" s="61"/>
      <c r="D15" s="61"/>
      <c r="E15" s="61"/>
      <c r="F15" s="61"/>
      <c r="G15" s="61"/>
      <c r="H15" s="37">
        <f>Vision!D2</f>
        <v>0</v>
      </c>
      <c r="I15" s="38"/>
    </row>
    <row r="16" spans="1:9" ht="22.5" customHeight="1" thickBot="1" x14ac:dyDescent="0.3">
      <c r="A16" s="29" t="s">
        <v>8</v>
      </c>
      <c r="B16" s="30"/>
      <c r="C16" s="30"/>
      <c r="D16" s="30"/>
      <c r="E16" s="30"/>
      <c r="F16" s="30"/>
      <c r="G16" s="30"/>
      <c r="H16" s="30"/>
      <c r="I16" s="31"/>
    </row>
    <row r="17" spans="1:9" ht="26.25" customHeight="1" thickBot="1" x14ac:dyDescent="0.25">
      <c r="A17" s="62" t="s">
        <v>34</v>
      </c>
      <c r="B17" s="63"/>
      <c r="C17" s="5"/>
      <c r="D17" s="5"/>
      <c r="E17" s="69" t="s">
        <v>80</v>
      </c>
      <c r="F17" s="69"/>
      <c r="G17" s="69"/>
      <c r="H17" s="35">
        <f>'Optional Term Life'!A29</f>
        <v>0</v>
      </c>
      <c r="I17" s="36"/>
    </row>
    <row r="18" spans="1:9" ht="3" customHeight="1" thickBot="1" x14ac:dyDescent="0.25">
      <c r="A18" s="21"/>
      <c r="B18" s="22"/>
      <c r="C18" s="22"/>
      <c r="D18" s="22"/>
      <c r="E18" s="22"/>
      <c r="F18" s="22"/>
      <c r="G18" s="22"/>
      <c r="H18" s="22"/>
      <c r="I18" s="23"/>
    </row>
    <row r="19" spans="1:9" ht="22.5" customHeight="1" thickBot="1" x14ac:dyDescent="0.3">
      <c r="A19" s="29" t="s">
        <v>7</v>
      </c>
      <c r="B19" s="30"/>
      <c r="C19" s="30"/>
      <c r="D19" s="30"/>
      <c r="E19" s="30"/>
      <c r="F19" s="30"/>
      <c r="G19" s="30"/>
      <c r="H19" s="30"/>
      <c r="I19" s="31"/>
    </row>
    <row r="20" spans="1:9" ht="26.25" customHeight="1" thickBot="1" x14ac:dyDescent="0.25">
      <c r="A20" s="41" t="s">
        <v>36</v>
      </c>
      <c r="B20" s="42"/>
      <c r="C20" s="6"/>
      <c r="D20" s="61"/>
      <c r="E20" s="59" t="s">
        <v>159</v>
      </c>
      <c r="F20" s="59"/>
      <c r="G20" s="59"/>
      <c r="H20" s="53">
        <f>'AD&amp;D'!B84</f>
        <v>0</v>
      </c>
      <c r="I20" s="54"/>
    </row>
    <row r="21" spans="1:9" ht="26.25" customHeight="1" thickBot="1" x14ac:dyDescent="0.25">
      <c r="A21" s="39" t="s">
        <v>35</v>
      </c>
      <c r="B21" s="40"/>
      <c r="C21" s="7"/>
      <c r="D21" s="22"/>
      <c r="E21" s="60"/>
      <c r="F21" s="60"/>
      <c r="G21" s="60"/>
      <c r="H21" s="35">
        <f>'AD&amp;D'!B85</f>
        <v>0</v>
      </c>
      <c r="I21" s="36"/>
    </row>
    <row r="22" spans="1:9" ht="22.5" customHeight="1" thickBot="1" x14ac:dyDescent="0.3">
      <c r="A22" s="29" t="s">
        <v>9</v>
      </c>
      <c r="B22" s="30"/>
      <c r="C22" s="30"/>
      <c r="D22" s="30"/>
      <c r="E22" s="30"/>
      <c r="F22" s="30"/>
      <c r="G22" s="30"/>
      <c r="H22" s="30"/>
      <c r="I22" s="31"/>
    </row>
    <row r="23" spans="1:9" ht="26.25" customHeight="1" thickBot="1" x14ac:dyDescent="0.3">
      <c r="A23" s="43" t="s">
        <v>23</v>
      </c>
      <c r="B23" s="44"/>
      <c r="C23" s="25"/>
      <c r="D23" s="25"/>
      <c r="E23" s="25"/>
      <c r="F23" s="25"/>
      <c r="G23" s="25"/>
      <c r="H23" s="37">
        <f>Health!H6</f>
        <v>0</v>
      </c>
      <c r="I23" s="38"/>
    </row>
    <row r="24" spans="1:9" ht="22.5" customHeight="1" thickBot="1" x14ac:dyDescent="0.3">
      <c r="A24" s="29" t="s">
        <v>10</v>
      </c>
      <c r="B24" s="30"/>
      <c r="C24" s="30"/>
      <c r="D24" s="30"/>
      <c r="E24" s="30"/>
      <c r="F24" s="30"/>
      <c r="G24" s="30"/>
      <c r="H24" s="30"/>
      <c r="I24" s="31"/>
    </row>
    <row r="25" spans="1:9" ht="26.25" customHeight="1" thickBot="1" x14ac:dyDescent="0.25">
      <c r="A25" s="45" t="s">
        <v>27</v>
      </c>
      <c r="B25" s="46"/>
      <c r="C25" s="6"/>
      <c r="D25" s="6"/>
      <c r="E25" s="6"/>
      <c r="F25" s="6"/>
      <c r="G25" s="6"/>
      <c r="H25" s="37">
        <f>Disability!A8</f>
        <v>0</v>
      </c>
      <c r="I25" s="38"/>
    </row>
    <row r="26" spans="1:9" ht="22.5" customHeight="1" thickBot="1" x14ac:dyDescent="0.3">
      <c r="A26" s="29" t="s">
        <v>11</v>
      </c>
      <c r="B26" s="30"/>
      <c r="C26" s="30"/>
      <c r="D26" s="30"/>
      <c r="E26" s="30"/>
      <c r="F26" s="30"/>
      <c r="G26" s="30"/>
      <c r="H26" s="30"/>
      <c r="I26" s="31"/>
    </row>
    <row r="27" spans="1:9" ht="26.25" customHeight="1" thickBot="1" x14ac:dyDescent="0.25">
      <c r="A27" s="43" t="s">
        <v>30</v>
      </c>
      <c r="B27" s="44"/>
      <c r="C27" s="18"/>
      <c r="D27" s="18"/>
      <c r="E27" s="18"/>
      <c r="F27" s="18"/>
      <c r="G27" s="18"/>
      <c r="H27" s="35">
        <f>Disability!F8</f>
        <v>0</v>
      </c>
      <c r="I27" s="36"/>
    </row>
    <row r="28" spans="1:9" ht="22.5" customHeight="1" thickBot="1" x14ac:dyDescent="0.3">
      <c r="A28" s="29" t="s">
        <v>50</v>
      </c>
      <c r="B28" s="30"/>
      <c r="C28" s="30"/>
      <c r="D28" s="30"/>
      <c r="E28" s="30"/>
      <c r="F28" s="30"/>
      <c r="G28" s="30"/>
      <c r="H28" s="30"/>
      <c r="I28" s="31"/>
    </row>
    <row r="29" spans="1:9" ht="47.25" customHeight="1" thickBot="1" x14ac:dyDescent="0.25">
      <c r="A29" s="57" t="s">
        <v>161</v>
      </c>
      <c r="B29" s="58"/>
      <c r="C29" s="26" t="s">
        <v>51</v>
      </c>
      <c r="D29" s="26"/>
      <c r="E29" s="26"/>
      <c r="F29" s="26"/>
      <c r="G29" s="26"/>
      <c r="H29" s="55"/>
      <c r="I29" s="56"/>
    </row>
    <row r="30" spans="1:9" ht="22.5" customHeight="1" thickBot="1" x14ac:dyDescent="0.3">
      <c r="A30" s="29" t="s">
        <v>160</v>
      </c>
      <c r="B30" s="30"/>
      <c r="C30" s="30"/>
      <c r="D30" s="30"/>
      <c r="E30" s="30"/>
      <c r="F30" s="30"/>
      <c r="G30" s="30"/>
      <c r="H30" s="30"/>
      <c r="I30" s="31"/>
    </row>
    <row r="31" spans="1:9" ht="31.5" customHeight="1" thickBot="1" x14ac:dyDescent="0.25">
      <c r="A31" s="47" t="s">
        <v>52</v>
      </c>
      <c r="B31" s="48"/>
      <c r="C31" s="26" t="s">
        <v>168</v>
      </c>
      <c r="D31" s="26"/>
      <c r="E31" s="26"/>
      <c r="F31" s="26"/>
      <c r="G31" s="26"/>
      <c r="H31" s="55"/>
      <c r="I31" s="56"/>
    </row>
    <row r="32" spans="1:9" ht="22.5" customHeight="1" thickBot="1" x14ac:dyDescent="0.3">
      <c r="A32" s="29" t="s">
        <v>48</v>
      </c>
      <c r="B32" s="30"/>
      <c r="C32" s="30"/>
      <c r="D32" s="30"/>
      <c r="E32" s="30"/>
      <c r="F32" s="30"/>
      <c r="G32" s="30"/>
      <c r="H32" s="30"/>
      <c r="I32" s="31"/>
    </row>
    <row r="33" spans="1:9" ht="31.5" customHeight="1" thickBot="1" x14ac:dyDescent="0.25">
      <c r="A33" s="47" t="s">
        <v>53</v>
      </c>
      <c r="B33" s="48"/>
      <c r="C33" s="26" t="s">
        <v>12</v>
      </c>
      <c r="D33" s="26"/>
      <c r="E33" s="26"/>
      <c r="F33" s="26"/>
      <c r="G33" s="26"/>
      <c r="H33" s="55"/>
      <c r="I33" s="56"/>
    </row>
    <row r="34" spans="1:9" ht="22.5" customHeight="1" x14ac:dyDescent="0.25">
      <c r="A34" s="32" t="s">
        <v>49</v>
      </c>
      <c r="B34" s="33"/>
      <c r="C34" s="33"/>
      <c r="D34" s="33"/>
      <c r="E34" s="33"/>
      <c r="F34" s="33"/>
      <c r="G34" s="33"/>
      <c r="H34" s="33"/>
      <c r="I34" s="34"/>
    </row>
    <row r="35" spans="1:9" ht="38.25" customHeight="1" x14ac:dyDescent="0.2">
      <c r="A35" s="74" t="s">
        <v>162</v>
      </c>
      <c r="B35" s="75"/>
      <c r="C35" s="27" t="s">
        <v>168</v>
      </c>
      <c r="D35" s="27"/>
      <c r="E35" s="27"/>
      <c r="F35" s="27"/>
      <c r="G35" s="27"/>
      <c r="H35" s="49"/>
      <c r="I35" s="50"/>
    </row>
    <row r="36" spans="1:9" ht="3.75" customHeight="1" x14ac:dyDescent="0.2">
      <c r="A36" s="19"/>
      <c r="B36" s="20"/>
      <c r="C36" s="28"/>
      <c r="D36" s="28"/>
      <c r="E36" s="28"/>
      <c r="F36" s="28"/>
      <c r="G36" s="28"/>
      <c r="H36" s="51"/>
      <c r="I36" s="52"/>
    </row>
    <row r="37" spans="1:9" x14ac:dyDescent="0.2">
      <c r="A37" s="24"/>
      <c r="B37" s="24"/>
      <c r="C37" s="24"/>
      <c r="D37" s="24"/>
      <c r="E37" s="24"/>
      <c r="F37" s="24"/>
      <c r="G37" s="24"/>
      <c r="H37" s="24"/>
      <c r="I37" s="24"/>
    </row>
    <row r="38" spans="1:9" x14ac:dyDescent="0.2">
      <c r="A38" s="72"/>
      <c r="B38" s="72"/>
      <c r="C38" s="72"/>
      <c r="D38" s="72"/>
      <c r="E38" s="72"/>
      <c r="F38" s="73"/>
      <c r="G38" s="73"/>
      <c r="H38" s="73"/>
      <c r="I38" s="73"/>
    </row>
    <row r="39" spans="1:9" ht="27.75" customHeight="1" x14ac:dyDescent="0.2">
      <c r="A39" s="72"/>
      <c r="B39" s="72"/>
      <c r="C39" s="72"/>
      <c r="D39" s="72"/>
      <c r="E39" s="72"/>
      <c r="F39" s="70" t="s">
        <v>32</v>
      </c>
      <c r="G39" s="71"/>
      <c r="H39" s="71"/>
      <c r="I39" s="16">
        <f>SUM(H9+H12+H15+H17+H20+H21+H23+H25+H27+H29+H31+H33+H35)</f>
        <v>0</v>
      </c>
    </row>
    <row r="40" spans="1:9" x14ac:dyDescent="0.2">
      <c r="A40" s="72"/>
      <c r="B40" s="72"/>
      <c r="C40" s="72"/>
      <c r="D40" s="72"/>
      <c r="E40" s="72"/>
    </row>
    <row r="41" spans="1:9" ht="33.75" customHeight="1" x14ac:dyDescent="0.2">
      <c r="A41" s="72"/>
      <c r="B41" s="72"/>
      <c r="C41" s="72"/>
      <c r="D41" s="72"/>
      <c r="E41" s="72"/>
      <c r="F41" s="70" t="s">
        <v>33</v>
      </c>
      <c r="G41" s="71"/>
      <c r="H41" s="71"/>
      <c r="I41" s="17">
        <f>SUM(I39/2)</f>
        <v>0</v>
      </c>
    </row>
  </sheetData>
  <sheetProtection algorithmName="SHA-512" hashValue="OqEGhLGCYkKb53YpPeQeDmdAWCLoZE43Ijxc94fxh75M4bW2gpN/VmbVSXd6vx86QcKgCkj337FNHkKoXETlcA==" saltValue="W6wqEEUE8AxEjP9iRKlIaw==" spinCount="100000" sheet="1" selectLockedCells="1"/>
  <mergeCells count="66">
    <mergeCell ref="H9:I9"/>
    <mergeCell ref="C9:G9"/>
    <mergeCell ref="A9:B9"/>
    <mergeCell ref="D4:I5"/>
    <mergeCell ref="A6:I6"/>
    <mergeCell ref="A7:B7"/>
    <mergeCell ref="H7:I7"/>
    <mergeCell ref="C7:G7"/>
    <mergeCell ref="A1:C5"/>
    <mergeCell ref="D1:I1"/>
    <mergeCell ref="F41:H41"/>
    <mergeCell ref="F39:H39"/>
    <mergeCell ref="A38:E41"/>
    <mergeCell ref="F38:I38"/>
    <mergeCell ref="H27:I27"/>
    <mergeCell ref="H31:I31"/>
    <mergeCell ref="A35:B35"/>
    <mergeCell ref="A27:B27"/>
    <mergeCell ref="A17:B17"/>
    <mergeCell ref="H17:I17"/>
    <mergeCell ref="A10:I10"/>
    <mergeCell ref="D2:I2"/>
    <mergeCell ref="D3:G3"/>
    <mergeCell ref="H3:I3"/>
    <mergeCell ref="A15:B15"/>
    <mergeCell ref="C15:G15"/>
    <mergeCell ref="H15:I15"/>
    <mergeCell ref="E17:G17"/>
    <mergeCell ref="A11:I11"/>
    <mergeCell ref="A16:I16"/>
    <mergeCell ref="H12:I12"/>
    <mergeCell ref="A13:I13"/>
    <mergeCell ref="C12:G12"/>
    <mergeCell ref="A12:B12"/>
    <mergeCell ref="A14:I14"/>
    <mergeCell ref="A23:B23"/>
    <mergeCell ref="A25:B25"/>
    <mergeCell ref="A31:B31"/>
    <mergeCell ref="H35:I36"/>
    <mergeCell ref="H20:I20"/>
    <mergeCell ref="A32:I32"/>
    <mergeCell ref="A33:B33"/>
    <mergeCell ref="C33:G33"/>
    <mergeCell ref="H33:I33"/>
    <mergeCell ref="A28:I28"/>
    <mergeCell ref="A29:B29"/>
    <mergeCell ref="C29:G29"/>
    <mergeCell ref="H29:I29"/>
    <mergeCell ref="E20:G21"/>
    <mergeCell ref="D20:D21"/>
    <mergeCell ref="A18:I18"/>
    <mergeCell ref="A37:I37"/>
    <mergeCell ref="C23:G23"/>
    <mergeCell ref="C31:G31"/>
    <mergeCell ref="C35:G36"/>
    <mergeCell ref="A19:I19"/>
    <mergeCell ref="A22:I22"/>
    <mergeCell ref="A24:I24"/>
    <mergeCell ref="A26:I26"/>
    <mergeCell ref="A30:I30"/>
    <mergeCell ref="A34:I34"/>
    <mergeCell ref="H21:I21"/>
    <mergeCell ref="H23:I23"/>
    <mergeCell ref="A21:B21"/>
    <mergeCell ref="H25:I25"/>
    <mergeCell ref="A20:B20"/>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Health!$H$3:$H$4</xm:f>
          </x14:formula1>
          <xm:sqref>A23</xm:sqref>
        </x14:dataValidation>
        <x14:dataValidation type="list" allowBlank="1" showInputMessage="1" showErrorMessage="1">
          <x14:formula1>
            <xm:f>Disability!$A$2:$A$4</xm:f>
          </x14:formula1>
          <xm:sqref>A25</xm:sqref>
        </x14:dataValidation>
        <x14:dataValidation type="list" allowBlank="1" showInputMessage="1" showErrorMessage="1">
          <x14:formula1>
            <xm:f>Disability!$F$2:$F$4</xm:f>
          </x14:formula1>
          <xm:sqref>A27</xm:sqref>
        </x14:dataValidation>
        <x14:dataValidation type="list" allowBlank="1" showInputMessage="1" showErrorMessage="1">
          <x14:formula1>
            <xm:f>'Optional Term Life'!$A$2:$A$28</xm:f>
          </x14:formula1>
          <xm:sqref>A17:B17</xm:sqref>
        </x14:dataValidation>
        <x14:dataValidation type="list" allowBlank="1" showInputMessage="1" showErrorMessage="1">
          <x14:formula1>
            <xm:f>'AD&amp;D'!$A$1:$A$40</xm:f>
          </x14:formula1>
          <xm:sqref>A20:B20</xm:sqref>
        </x14:dataValidation>
        <x14:dataValidation type="list" allowBlank="1" showInputMessage="1" showErrorMessage="1">
          <x14:formula1>
            <xm:f>Vision!$A$2:$A$6</xm:f>
          </x14:formula1>
          <xm:sqref>A15:B15</xm:sqref>
        </x14:dataValidation>
        <x14:dataValidation type="list" allowBlank="1" showInputMessage="1" showErrorMessage="1">
          <x14:formula1>
            <xm:f>'AD&amp;D'!$A$41:$A$80</xm:f>
          </x14:formula1>
          <xm:sqref>A21:B21</xm:sqref>
        </x14:dataValidation>
        <x14:dataValidation type="list" allowBlank="1" showInputMessage="1" showErrorMessage="1">
          <x14:formula1>
            <xm:f>Health!$A$3:$A$12</xm:f>
          </x14:formula1>
          <xm:sqref>A9:B9</xm:sqref>
        </x14:dataValidation>
        <x14:dataValidation type="list" allowBlank="1" showInputMessage="1" showErrorMessage="1">
          <x14:formula1>
            <xm:f>Health!$A$14:$A$22</xm:f>
          </x14:formula1>
          <xm:sqref>A12:B12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22"/>
  <sheetViews>
    <sheetView topLeftCell="A10" zoomScale="120" zoomScaleNormal="120" workbookViewId="0">
      <selection activeCell="B23" sqref="B23"/>
    </sheetView>
  </sheetViews>
  <sheetFormatPr defaultRowHeight="15" x14ac:dyDescent="0.25"/>
  <cols>
    <col min="1" max="1" width="35.85546875" bestFit="1" customWidth="1"/>
    <col min="8" max="8" width="21" bestFit="1" customWidth="1"/>
  </cols>
  <sheetData>
    <row r="1" spans="1:9" x14ac:dyDescent="0.25">
      <c r="A1" t="s">
        <v>5</v>
      </c>
      <c r="H1" t="s">
        <v>22</v>
      </c>
    </row>
    <row r="3" spans="1:9" ht="15.75" thickBot="1" x14ac:dyDescent="0.3">
      <c r="A3" t="s">
        <v>0</v>
      </c>
      <c r="H3" t="s">
        <v>23</v>
      </c>
    </row>
    <row r="4" spans="1:9" ht="15.75" thickBot="1" x14ac:dyDescent="0.3">
      <c r="A4" t="s">
        <v>1</v>
      </c>
      <c r="B4" s="1">
        <f>IF('Cost Estimator'!A9=Health!A3,0,IF('Cost Estimator'!A9=Health!A4,0,IF('Cost Estimator'!A9=Health!A5,0,IF('Cost Estimator'!A9=Health!A6,358,IF('Cost Estimator'!A9=Health!A7,239.7,IF('Cost Estimator'!A9=Health!A8,597.7,IF('Cost Estimator'!A9=Health!A9,0,IF('Cost Estimator'!A9=Health!A9,0,IF('Cost Estimator'!A9=Health!A10,322.2,IF('Cost Estimator'!A9=Health!A11,215.72,IF('Cost Estimator'!A9=Health!A12,537.92)))))))))))</f>
        <v>0</v>
      </c>
      <c r="H4" t="s">
        <v>24</v>
      </c>
      <c r="I4">
        <v>1.45</v>
      </c>
    </row>
    <row r="5" spans="1:9" x14ac:dyDescent="0.25">
      <c r="A5" t="s">
        <v>13</v>
      </c>
    </row>
    <row r="6" spans="1:9" x14ac:dyDescent="0.25">
      <c r="A6" t="s">
        <v>14</v>
      </c>
      <c r="H6">
        <f>IF('Cost Estimator'!A23=Health!H3,Health!I3,IF('Cost Estimator'!A23=Health!H4,Health!I4))</f>
        <v>0</v>
      </c>
    </row>
    <row r="7" spans="1:9" x14ac:dyDescent="0.25">
      <c r="A7" t="s">
        <v>15</v>
      </c>
    </row>
    <row r="8" spans="1:9" x14ac:dyDescent="0.25">
      <c r="A8" t="s">
        <v>16</v>
      </c>
    </row>
    <row r="9" spans="1:9" x14ac:dyDescent="0.25">
      <c r="A9" t="s">
        <v>38</v>
      </c>
    </row>
    <row r="10" spans="1:9" x14ac:dyDescent="0.25">
      <c r="A10" t="s">
        <v>39</v>
      </c>
    </row>
    <row r="11" spans="1:9" x14ac:dyDescent="0.25">
      <c r="A11" t="s">
        <v>40</v>
      </c>
    </row>
    <row r="12" spans="1:9" x14ac:dyDescent="0.25">
      <c r="A12" t="s">
        <v>41</v>
      </c>
    </row>
    <row r="14" spans="1:9" ht="15.75" thickBot="1" x14ac:dyDescent="0.3">
      <c r="A14" t="s">
        <v>17</v>
      </c>
    </row>
    <row r="15" spans="1:9" ht="15.75" thickBot="1" x14ac:dyDescent="0.3">
      <c r="A15" t="s">
        <v>164</v>
      </c>
      <c r="B15">
        <v>8.6300000000000008</v>
      </c>
      <c r="D15" s="1">
        <f>IF('Cost Estimator'!A12=Health!A14,Health!B14,IF('Cost Estimator'!A12=Health!A15,Health!B15,IF('Cost Estimator'!A12=Health!A16,Health!B16,IF('Cost Estimator'!A12=Health!A17,Health!B17,IF('Cost Estimator'!A12=Health!A18,Health!B18,IF('Cost Estimator'!A12=Health!A19,Health!B19,IF('Cost Estimator'!A12=Health!A20,Health!B20,IF('Cost Estimator'!A12=Health!A21,Health!B21,IF('Cost Estimator'!A12=Health!A22,Health!B22,IF('Cost Estimator'!A12=Health!#REF!,Health!#REF!,IF('Cost Estimator'!A12=Health!#REF!,Health!#REF!,IF('Cost Estimator'!A12=Health!#REF!,Health!#REF!,IF('Cost Estimator'!A12=Health!#REF!,Health!#REF!)))))))))))))</f>
        <v>0</v>
      </c>
    </row>
    <row r="16" spans="1:9" x14ac:dyDescent="0.25">
      <c r="A16" t="s">
        <v>165</v>
      </c>
      <c r="B16">
        <v>17.260000000000002</v>
      </c>
    </row>
    <row r="17" spans="1:2" x14ac:dyDescent="0.25">
      <c r="A17" t="s">
        <v>166</v>
      </c>
      <c r="B17">
        <v>20.72</v>
      </c>
    </row>
    <row r="18" spans="1:2" x14ac:dyDescent="0.25">
      <c r="A18" t="s">
        <v>167</v>
      </c>
      <c r="B18">
        <v>29.33</v>
      </c>
    </row>
    <row r="19" spans="1:2" x14ac:dyDescent="0.25">
      <c r="A19" t="s">
        <v>18</v>
      </c>
      <c r="B19">
        <v>28.73</v>
      </c>
    </row>
    <row r="20" spans="1:2" x14ac:dyDescent="0.25">
      <c r="A20" t="s">
        <v>19</v>
      </c>
      <c r="B20">
        <v>57.46</v>
      </c>
    </row>
    <row r="21" spans="1:2" x14ac:dyDescent="0.25">
      <c r="A21" t="s">
        <v>21</v>
      </c>
      <c r="B21">
        <v>68.95</v>
      </c>
    </row>
    <row r="22" spans="1:2" x14ac:dyDescent="0.25">
      <c r="A22" t="s">
        <v>20</v>
      </c>
      <c r="B22">
        <v>97.68</v>
      </c>
    </row>
  </sheetData>
  <sheetProtection algorithmName="SHA-512" hashValue="rH9byzPMjS2XCmPZgWs3TgUALouLvH1G0T5ceq71FO19fO8tWEWdX8Nd5DVqyzosNvAbshCk5NBI2fMq5nNABA==" saltValue="4FHgcaBl97AysN/eXliU+g==" spinCount="100000"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
  <sheetViews>
    <sheetView workbookViewId="0">
      <selection activeCell="B7" sqref="B7"/>
    </sheetView>
  </sheetViews>
  <sheetFormatPr defaultRowHeight="15" x14ac:dyDescent="0.25"/>
  <cols>
    <col min="1" max="1" width="33.140625" bestFit="1" customWidth="1"/>
  </cols>
  <sheetData>
    <row r="2" spans="1:4" x14ac:dyDescent="0.25">
      <c r="A2" t="s">
        <v>43</v>
      </c>
      <c r="B2">
        <v>0</v>
      </c>
      <c r="D2">
        <f>IF('Cost Estimator'!A15=Vision!A2,0,IF('Cost Estimator'!A15=Vision!A3,B3,IF('Cost Estimator'!A15=Vision!A4,B4,IF('Cost Estimator'!A15=Vision!A5,B5,IF('Cost Estimator'!A15=Vision!A6,B6)))))</f>
        <v>0</v>
      </c>
    </row>
    <row r="3" spans="1:4" x14ac:dyDescent="0.25">
      <c r="A3" t="s">
        <v>44</v>
      </c>
      <c r="B3">
        <v>4.6100000000000003</v>
      </c>
    </row>
    <row r="4" spans="1:4" x14ac:dyDescent="0.25">
      <c r="A4" t="s">
        <v>45</v>
      </c>
      <c r="B4">
        <v>9.2200000000000006</v>
      </c>
    </row>
    <row r="5" spans="1:4" x14ac:dyDescent="0.25">
      <c r="A5" t="s">
        <v>46</v>
      </c>
      <c r="B5">
        <v>9.91</v>
      </c>
    </row>
    <row r="6" spans="1:4" x14ac:dyDescent="0.25">
      <c r="A6" t="s">
        <v>47</v>
      </c>
      <c r="B6">
        <v>14.52</v>
      </c>
    </row>
  </sheetData>
  <sheetProtection algorithmName="SHA-512" hashValue="EJkQH7CVpmK6PaESBX5WgAMF0CWH5INwJlaBYZWvgKSG7NOkx9eCWWTei9Iwv7LHxgPo66jMluuz5gJDZ0IXpg==" saltValue="23STanRtNOE4iz0SvFoHQw==" spinCount="100000" sheet="1" objects="1" scenarios="1"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30"/>
  <sheetViews>
    <sheetView topLeftCell="A10" workbookViewId="0">
      <selection activeCell="D29" sqref="D29"/>
    </sheetView>
  </sheetViews>
  <sheetFormatPr defaultRowHeight="15" x14ac:dyDescent="0.25"/>
  <cols>
    <col min="1" max="1" width="18.28515625" customWidth="1"/>
  </cols>
  <sheetData>
    <row r="1" spans="1:2" x14ac:dyDescent="0.25">
      <c r="A1" s="2"/>
    </row>
    <row r="2" spans="1:2" x14ac:dyDescent="0.25">
      <c r="A2" s="2" t="s">
        <v>34</v>
      </c>
    </row>
    <row r="3" spans="1:2" x14ac:dyDescent="0.25">
      <c r="A3" t="s">
        <v>54</v>
      </c>
      <c r="B3">
        <v>0.05</v>
      </c>
    </row>
    <row r="4" spans="1:2" x14ac:dyDescent="0.25">
      <c r="A4" t="s">
        <v>55</v>
      </c>
      <c r="B4">
        <v>0.06</v>
      </c>
    </row>
    <row r="5" spans="1:2" x14ac:dyDescent="0.25">
      <c r="A5" t="s">
        <v>56</v>
      </c>
      <c r="B5">
        <v>0.08</v>
      </c>
    </row>
    <row r="6" spans="1:2" x14ac:dyDescent="0.25">
      <c r="A6" t="s">
        <v>57</v>
      </c>
      <c r="B6">
        <v>0.13</v>
      </c>
    </row>
    <row r="7" spans="1:2" x14ac:dyDescent="0.25">
      <c r="A7" t="s">
        <v>58</v>
      </c>
      <c r="B7">
        <v>0.2</v>
      </c>
    </row>
    <row r="8" spans="1:2" x14ac:dyDescent="0.25">
      <c r="A8" t="s">
        <v>59</v>
      </c>
      <c r="B8">
        <v>0.35</v>
      </c>
    </row>
    <row r="9" spans="1:2" x14ac:dyDescent="0.25">
      <c r="A9" t="s">
        <v>60</v>
      </c>
      <c r="B9">
        <v>0.6</v>
      </c>
    </row>
    <row r="10" spans="1:2" x14ac:dyDescent="0.25">
      <c r="A10" t="s">
        <v>61</v>
      </c>
      <c r="B10">
        <v>0.98</v>
      </c>
    </row>
    <row r="11" spans="1:2" x14ac:dyDescent="0.25">
      <c r="A11" t="s">
        <v>62</v>
      </c>
      <c r="B11">
        <v>1.56</v>
      </c>
    </row>
    <row r="12" spans="1:2" x14ac:dyDescent="0.25">
      <c r="A12" t="s">
        <v>63</v>
      </c>
      <c r="B12">
        <v>2.5499999999999998</v>
      </c>
    </row>
    <row r="13" spans="1:2" x14ac:dyDescent="0.25">
      <c r="A13" t="s">
        <v>64</v>
      </c>
      <c r="B13">
        <v>4.1500000000000004</v>
      </c>
    </row>
    <row r="14" spans="1:2" x14ac:dyDescent="0.25">
      <c r="A14" t="s">
        <v>65</v>
      </c>
      <c r="B14">
        <v>7.18</v>
      </c>
    </row>
    <row r="15" spans="1:2" x14ac:dyDescent="0.25">
      <c r="A15" t="s">
        <v>66</v>
      </c>
      <c r="B15">
        <v>11.18</v>
      </c>
    </row>
    <row r="16" spans="1:2" x14ac:dyDescent="0.25">
      <c r="A16" t="s">
        <v>67</v>
      </c>
      <c r="B16">
        <v>0.1</v>
      </c>
    </row>
    <row r="17" spans="1:2" x14ac:dyDescent="0.25">
      <c r="A17" t="s">
        <v>68</v>
      </c>
      <c r="B17">
        <v>0.12</v>
      </c>
    </row>
    <row r="18" spans="1:2" x14ac:dyDescent="0.25">
      <c r="A18" t="s">
        <v>69</v>
      </c>
      <c r="B18">
        <v>0.16</v>
      </c>
    </row>
    <row r="19" spans="1:2" x14ac:dyDescent="0.25">
      <c r="A19" t="s">
        <v>70</v>
      </c>
      <c r="B19">
        <v>0.26</v>
      </c>
    </row>
    <row r="20" spans="1:2" x14ac:dyDescent="0.25">
      <c r="A20" t="s">
        <v>71</v>
      </c>
      <c r="B20">
        <v>0.4</v>
      </c>
    </row>
    <row r="21" spans="1:2" x14ac:dyDescent="0.25">
      <c r="A21" t="s">
        <v>72</v>
      </c>
      <c r="B21">
        <v>0.7</v>
      </c>
    </row>
    <row r="22" spans="1:2" x14ac:dyDescent="0.25">
      <c r="A22" t="s">
        <v>73</v>
      </c>
      <c r="B22">
        <v>1.2</v>
      </c>
    </row>
    <row r="23" spans="1:2" x14ac:dyDescent="0.25">
      <c r="A23" t="s">
        <v>74</v>
      </c>
      <c r="B23">
        <v>1.96</v>
      </c>
    </row>
    <row r="24" spans="1:2" x14ac:dyDescent="0.25">
      <c r="A24" t="s">
        <v>75</v>
      </c>
      <c r="B24">
        <v>3.12</v>
      </c>
    </row>
    <row r="25" spans="1:2" x14ac:dyDescent="0.25">
      <c r="A25" t="s">
        <v>76</v>
      </c>
      <c r="B25">
        <v>5.0999999999999996</v>
      </c>
    </row>
    <row r="26" spans="1:2" x14ac:dyDescent="0.25">
      <c r="A26" t="s">
        <v>77</v>
      </c>
      <c r="B26">
        <v>8.3000000000000007</v>
      </c>
    </row>
    <row r="27" spans="1:2" x14ac:dyDescent="0.25">
      <c r="A27" t="s">
        <v>78</v>
      </c>
      <c r="B27">
        <v>14.36</v>
      </c>
    </row>
    <row r="28" spans="1:2" x14ac:dyDescent="0.25">
      <c r="A28" t="s">
        <v>79</v>
      </c>
      <c r="B28">
        <v>22.36</v>
      </c>
    </row>
    <row r="29" spans="1:2" x14ac:dyDescent="0.25">
      <c r="A29">
        <f>IF('Cost Estimator'!A17:B17='Optional Term Life'!A2,B2,IF('Cost Estimator'!A17:B17='Optional Term Life'!A3,'Cost Estimator'!H3/1000*'Optional Term Life'!B3,IF('Cost Estimator'!A17:B17='Optional Term Life'!A4,'Cost Estimator'!H3/1000*'Optional Term Life'!B4,IF('Cost Estimator'!A17:B17='Optional Term Life'!A5,'Cost Estimator'!H3/1000*'Optional Term Life'!B5,IF('Cost Estimator'!A17:B17='Optional Term Life'!A6,'Cost Estimator'!H3/1000*'Optional Term Life'!B6,IF('Cost Estimator'!A17:B17='Optional Term Life'!A7,'Cost Estimator'!H3/1000*'Optional Term Life'!B7,IF('Cost Estimator'!A17:B17='Optional Term Life'!A8,'Cost Estimator'!H3/1000*'Optional Term Life'!B8,IF('Cost Estimator'!A17:B17='Optional Term Life'!A9,'Cost Estimator'!H3/1000*'Optional Term Life'!B9,IF('Cost Estimator'!A17:B17='Optional Term Life'!A10,'Cost Estimator'!H3/1000*'Optional Term Life'!B10,IF('Cost Estimator'!A17:B17='Optional Term Life'!A11,'Cost Estimator'!H3/1000*'Optional Term Life'!B11,IF('Cost Estimator'!A17:B17='Optional Term Life'!A12,'Cost Estimator'!H3/1000*'Optional Term Life'!B12,IF('Cost Estimator'!A17:B17='Optional Term Life'!A13,'Cost Estimator'!H3/1000*'Optional Term Life'!B13,IF('Cost Estimator'!A17:B17='Optional Term Life'!A14,'Cost Estimator'!H3/1000*'Optional Term Life'!B14,IF('Cost Estimator'!A17:B17='Optional Term Life'!A15,'Cost Estimator'!H3/1000*'Optional Term Life'!B15,IF('Cost Estimator'!A17:B17='Optional Term Life'!A16,'Optional Term Life'!B16,IF('Cost Estimator'!A17:B17='Optional Term Life'!A17,'Cost Estimator'!H3/1000*'Optional Term Life'!B17,IF('Cost Estimator'!A17:B17='Optional Term Life'!A18,'Cost Estimator'!H3/1000*'Optional Term Life'!B18,IF('Cost Estimator'!A17:B17='Optional Term Life'!A19,'Cost Estimator'!H3/1000*'Optional Term Life'!B19,IF('Cost Estimator'!A17:B17='Optional Term Life'!A20,'Cost Estimator'!H3/1000*'Optional Term Life'!B20,IF('Cost Estimator'!A17:B17='Optional Term Life'!A21,'Cost Estimator'!H3/1000*'Optional Term Life'!B21,IF('Cost Estimator'!A17:B17='Optional Term Life'!A22,'Cost Estimator'!H3/1000*'Optional Term Life'!B22,IF('Cost Estimator'!A17:B17='Optional Term Life'!A23,'Cost Estimator'!H3/1000*'Optional Term Life'!B23,IF('Cost Estimator'!A17:B17='Optional Term Life'!A24,'Cost Estimator'!H3/1000*'Optional Term Life'!B24,IF('Cost Estimator'!A17:B17='Optional Term Life'!A25,'Cost Estimator'!H3/1000*'Optional Term Life'!B25,IF('Cost Estimator'!A17:B17='Optional Term Life'!A26,'Cost Estimator'!H3/1000*'Optional Term Life'!B26,IF('Cost Estimator'!A17:B17='Optional Term Life'!A27,'Cost Estimator'!H3/1000*'Optional Term Life'!B27,IF('Cost Estimator'!A17:B17='Optional Term Life'!A28,'Cost Estimator'!H3/1000*'Optional Term Life'!B28)))))))))))))))))))))))))))</f>
        <v>0</v>
      </c>
    </row>
    <row r="30" spans="1:2" x14ac:dyDescent="0.25">
      <c r="A30" t="e">
        <f>IF('Cost Estimator'!#REF!='Optional Term Life'!A3,'Cost Estimator'!H3/1000*'Optional Term Life'!B16,IF('Cost Estimator'!#REF!='Optional Term Life'!A4,'Cost Estimator'!H3/1000*'Optional Term Life'!B17,IF('Cost Estimator'!#REF!='Optional Term Life'!A5,'Cost Estimator'!H3/1000*'Optional Term Life'!B18,IF('Cost Estimator'!#REF!='Optional Term Life'!A6,'Cost Estimator'!H3/1000*'Optional Term Life'!B19,IF('Cost Estimator'!#REF!='Optional Term Life'!A7,'Cost Estimator'!H3/1000*'Optional Term Life'!B20,IF('Cost Estimator'!#REF!='Optional Term Life'!A8,'Cost Estimator'!H3/1000*'Optional Term Life'!B21,IF('Cost Estimator'!#REF!='Optional Term Life'!A9,'Cost Estimator'!H3/1000*'Optional Term Life'!B22,IF('Cost Estimator'!#REF!='Optional Term Life'!A10,'Cost Estimator'!H3/1000*'Optional Term Life'!B23,IF('Cost Estimator'!#REF!='Optional Term Life'!A11,'Cost Estimator'!H3/1000*'Optional Term Life'!B24,IF('Cost Estimator'!#REF!='Optional Term Life'!A12,'Cost Estimator'!H3/1000*'Optional Term Life'!B25,IF('Cost Estimator'!#REF!='Optional Term Life'!A13,'Cost Estimator'!H3/1000*'Optional Term Life'!B26,IF('Cost Estimator'!#REF!='Optional Term Life'!A14,'Cost Estimator'!H3/1000*'Optional Term Life'!B27,IF('Cost Estimator'!#REF!='Optional Term Life'!A15,'Cost Estimator'!H3/1000*'Optional Term Life'!C26,IF('Cost Estimator'!#REF!='Optional Term Life'!A2,'Optional Term Life'!C2))))))))))))))</f>
        <v>#REF!</v>
      </c>
    </row>
  </sheetData>
  <sheetProtection algorithmName="SHA-512" hashValue="TvHPHY+KBSnAUmpxa5ZT/Zhm7oDWATSLzsjFk4K42zR/uUdLy7vzPyIOQSN20QwYDmAjofW4nDfj/YIWWtljAg==" saltValue="z7jCvyEuaGLgB0C/PMqvVg==" spinCount="100000" sheet="1" selectLockedCells="1" selectUn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85"/>
  <sheetViews>
    <sheetView workbookViewId="0">
      <selection activeCell="E63" sqref="E63"/>
    </sheetView>
  </sheetViews>
  <sheetFormatPr defaultRowHeight="15" x14ac:dyDescent="0.25"/>
  <cols>
    <col min="1" max="1" width="20.85546875" style="8" bestFit="1" customWidth="1"/>
  </cols>
  <sheetData>
    <row r="1" spans="1:4" x14ac:dyDescent="0.25">
      <c r="A1" s="8" t="s">
        <v>36</v>
      </c>
      <c r="D1" t="s">
        <v>35</v>
      </c>
    </row>
    <row r="2" spans="1:4" x14ac:dyDescent="0.25">
      <c r="A2" s="8" t="s">
        <v>81</v>
      </c>
      <c r="B2">
        <f>SUM(10000/1000*0.02)</f>
        <v>0.2</v>
      </c>
    </row>
    <row r="3" spans="1:4" x14ac:dyDescent="0.25">
      <c r="A3" s="8" t="s">
        <v>82</v>
      </c>
      <c r="B3">
        <f>SUM(15000/1000*0.02)</f>
        <v>0.3</v>
      </c>
    </row>
    <row r="4" spans="1:4" x14ac:dyDescent="0.25">
      <c r="A4" s="8" t="s">
        <v>83</v>
      </c>
      <c r="B4">
        <f>SUM(20000/1000*0.02)</f>
        <v>0.4</v>
      </c>
    </row>
    <row r="5" spans="1:4" x14ac:dyDescent="0.25">
      <c r="A5" s="8" t="s">
        <v>84</v>
      </c>
      <c r="B5">
        <f>SUM(25000/1000*0.02)</f>
        <v>0.5</v>
      </c>
    </row>
    <row r="6" spans="1:4" x14ac:dyDescent="0.25">
      <c r="A6" s="8" t="s">
        <v>85</v>
      </c>
      <c r="B6">
        <f>SUM(30000/1000*0.02)</f>
        <v>0.6</v>
      </c>
    </row>
    <row r="7" spans="1:4" x14ac:dyDescent="0.25">
      <c r="A7" s="8" t="s">
        <v>86</v>
      </c>
      <c r="B7">
        <f>SUM(35000/1000*0.02)</f>
        <v>0.70000000000000007</v>
      </c>
    </row>
    <row r="8" spans="1:4" x14ac:dyDescent="0.25">
      <c r="A8" s="8" t="s">
        <v>87</v>
      </c>
      <c r="B8">
        <f>SUM(40000/1000*0.02)</f>
        <v>0.8</v>
      </c>
    </row>
    <row r="9" spans="1:4" x14ac:dyDescent="0.25">
      <c r="A9" s="8" t="s">
        <v>88</v>
      </c>
      <c r="B9">
        <f>SUM(45000/1000*0.02)</f>
        <v>0.9</v>
      </c>
    </row>
    <row r="10" spans="1:4" x14ac:dyDescent="0.25">
      <c r="A10" s="8" t="s">
        <v>89</v>
      </c>
      <c r="B10">
        <f>SUM(50000/1000*0.02)</f>
        <v>1</v>
      </c>
    </row>
    <row r="11" spans="1:4" x14ac:dyDescent="0.25">
      <c r="A11" s="8" t="s">
        <v>90</v>
      </c>
      <c r="B11">
        <f>SUM(55000/1000*0.02)</f>
        <v>1.1000000000000001</v>
      </c>
    </row>
    <row r="12" spans="1:4" x14ac:dyDescent="0.25">
      <c r="A12" s="8" t="s">
        <v>91</v>
      </c>
      <c r="B12">
        <f>SUM(60000/1000*0.02)</f>
        <v>1.2</v>
      </c>
    </row>
    <row r="13" spans="1:4" x14ac:dyDescent="0.25">
      <c r="A13" s="8" t="s">
        <v>92</v>
      </c>
      <c r="B13">
        <f>SUM(65000/1000*0.02)</f>
        <v>1.3</v>
      </c>
    </row>
    <row r="14" spans="1:4" x14ac:dyDescent="0.25">
      <c r="A14" s="8" t="s">
        <v>93</v>
      </c>
      <c r="B14">
        <f>SUM(70000/1000*0.02)</f>
        <v>1.4000000000000001</v>
      </c>
    </row>
    <row r="15" spans="1:4" x14ac:dyDescent="0.25">
      <c r="A15" s="8" t="s">
        <v>94</v>
      </c>
      <c r="B15">
        <f>SUM(75000/1000*0.02)</f>
        <v>1.5</v>
      </c>
    </row>
    <row r="16" spans="1:4" x14ac:dyDescent="0.25">
      <c r="A16" s="8" t="s">
        <v>95</v>
      </c>
      <c r="B16">
        <f>SUM(80000/1000*0.02)</f>
        <v>1.6</v>
      </c>
    </row>
    <row r="17" spans="1:2" x14ac:dyDescent="0.25">
      <c r="A17" s="8" t="s">
        <v>96</v>
      </c>
      <c r="B17">
        <f>SUM(85000/1000*0.02)</f>
        <v>1.7</v>
      </c>
    </row>
    <row r="18" spans="1:2" x14ac:dyDescent="0.25">
      <c r="A18" s="8" t="s">
        <v>97</v>
      </c>
      <c r="B18">
        <f>SUM(90000/1000*0.02)</f>
        <v>1.8</v>
      </c>
    </row>
    <row r="19" spans="1:2" x14ac:dyDescent="0.25">
      <c r="A19" s="8" t="s">
        <v>98</v>
      </c>
      <c r="B19">
        <f>SUM(95000/1000*0.02)</f>
        <v>1.9000000000000001</v>
      </c>
    </row>
    <row r="20" spans="1:2" x14ac:dyDescent="0.25">
      <c r="A20" s="8" t="s">
        <v>99</v>
      </c>
      <c r="B20">
        <f>SUM(100000/1000*0.02)</f>
        <v>2</v>
      </c>
    </row>
    <row r="21" spans="1:2" x14ac:dyDescent="0.25">
      <c r="A21" s="8" t="s">
        <v>100</v>
      </c>
      <c r="B21">
        <f>SUM(105000/1000*0.02)</f>
        <v>2.1</v>
      </c>
    </row>
    <row r="22" spans="1:2" x14ac:dyDescent="0.25">
      <c r="A22" s="8" t="s">
        <v>101</v>
      </c>
      <c r="B22">
        <f>SUM(110000/1000*0.02)</f>
        <v>2.2000000000000002</v>
      </c>
    </row>
    <row r="23" spans="1:2" x14ac:dyDescent="0.25">
      <c r="A23" s="8" t="s">
        <v>102</v>
      </c>
      <c r="B23">
        <f>SUM(115000/1000*0.02)</f>
        <v>2.3000000000000003</v>
      </c>
    </row>
    <row r="24" spans="1:2" x14ac:dyDescent="0.25">
      <c r="A24" s="8" t="s">
        <v>103</v>
      </c>
      <c r="B24">
        <f>SUM(120000/1000*0.02)</f>
        <v>2.4</v>
      </c>
    </row>
    <row r="25" spans="1:2" x14ac:dyDescent="0.25">
      <c r="A25" s="8" t="s">
        <v>104</v>
      </c>
      <c r="B25">
        <f>SUM(125000/1000*0.02)</f>
        <v>2.5</v>
      </c>
    </row>
    <row r="26" spans="1:2" x14ac:dyDescent="0.25">
      <c r="A26" s="8" t="s">
        <v>105</v>
      </c>
      <c r="B26">
        <f>SUM(130000/1000*0.02)</f>
        <v>2.6</v>
      </c>
    </row>
    <row r="27" spans="1:2" x14ac:dyDescent="0.25">
      <c r="A27" s="8" t="s">
        <v>106</v>
      </c>
      <c r="B27">
        <f>SUM(135000/1000*0.02)</f>
        <v>2.7</v>
      </c>
    </row>
    <row r="28" spans="1:2" x14ac:dyDescent="0.25">
      <c r="A28" s="8" t="s">
        <v>107</v>
      </c>
      <c r="B28">
        <f>SUM(140000/1000*0.02)</f>
        <v>2.8000000000000003</v>
      </c>
    </row>
    <row r="29" spans="1:2" x14ac:dyDescent="0.25">
      <c r="A29" s="8" t="s">
        <v>108</v>
      </c>
      <c r="B29">
        <f>SUM(145000/1000*0.02)</f>
        <v>2.9</v>
      </c>
    </row>
    <row r="30" spans="1:2" x14ac:dyDescent="0.25">
      <c r="A30" s="8" t="s">
        <v>109</v>
      </c>
      <c r="B30">
        <f>SUM(150000/1000*0.02)</f>
        <v>3</v>
      </c>
    </row>
    <row r="31" spans="1:2" x14ac:dyDescent="0.25">
      <c r="A31" s="8" t="s">
        <v>110</v>
      </c>
      <c r="B31">
        <f>SUM(155000/1000*0.02)</f>
        <v>3.1</v>
      </c>
    </row>
    <row r="32" spans="1:2" x14ac:dyDescent="0.25">
      <c r="A32" s="8" t="s">
        <v>111</v>
      </c>
      <c r="B32">
        <f>SUM(160000/1000*0.02)</f>
        <v>3.2</v>
      </c>
    </row>
    <row r="33" spans="1:2" x14ac:dyDescent="0.25">
      <c r="A33" s="8" t="s">
        <v>112</v>
      </c>
      <c r="B33">
        <f>SUM(165000/1000*0.02)</f>
        <v>3.3000000000000003</v>
      </c>
    </row>
    <row r="34" spans="1:2" x14ac:dyDescent="0.25">
      <c r="A34" s="8" t="s">
        <v>113</v>
      </c>
      <c r="B34">
        <f>SUM(170000/1000*0.02)</f>
        <v>3.4</v>
      </c>
    </row>
    <row r="35" spans="1:2" x14ac:dyDescent="0.25">
      <c r="A35" s="8" t="s">
        <v>114</v>
      </c>
      <c r="B35">
        <f>SUM(175000/1000*0.02)</f>
        <v>3.5</v>
      </c>
    </row>
    <row r="36" spans="1:2" x14ac:dyDescent="0.25">
      <c r="A36" s="8" t="s">
        <v>115</v>
      </c>
      <c r="B36">
        <f>SUM(180000/1000*0.02)</f>
        <v>3.6</v>
      </c>
    </row>
    <row r="37" spans="1:2" x14ac:dyDescent="0.25">
      <c r="A37" s="8" t="s">
        <v>116</v>
      </c>
      <c r="B37">
        <f>SUM(185000/1000*0.02)</f>
        <v>3.7</v>
      </c>
    </row>
    <row r="38" spans="1:2" x14ac:dyDescent="0.25">
      <c r="A38" s="8" t="s">
        <v>117</v>
      </c>
      <c r="B38">
        <f>SUM(190000/1000*0.02)</f>
        <v>3.8000000000000003</v>
      </c>
    </row>
    <row r="39" spans="1:2" x14ac:dyDescent="0.25">
      <c r="A39" s="8" t="s">
        <v>118</v>
      </c>
      <c r="B39">
        <f>SUM(195000/1000*0.02)</f>
        <v>3.9</v>
      </c>
    </row>
    <row r="40" spans="1:2" x14ac:dyDescent="0.25">
      <c r="A40" s="8" t="s">
        <v>119</v>
      </c>
      <c r="B40">
        <f>SUM(200000/1000*0.02)</f>
        <v>4</v>
      </c>
    </row>
    <row r="41" spans="1:2" x14ac:dyDescent="0.25">
      <c r="A41" t="s">
        <v>35</v>
      </c>
    </row>
    <row r="42" spans="1:2" x14ac:dyDescent="0.25">
      <c r="A42" s="3" t="s">
        <v>120</v>
      </c>
      <c r="B42">
        <f>SUM(10000/1000*0.04)</f>
        <v>0.4</v>
      </c>
    </row>
    <row r="43" spans="1:2" x14ac:dyDescent="0.25">
      <c r="A43" s="3" t="s">
        <v>121</v>
      </c>
      <c r="B43">
        <f>SUM(15000/1000*0.04)</f>
        <v>0.6</v>
      </c>
    </row>
    <row r="44" spans="1:2" x14ac:dyDescent="0.25">
      <c r="A44" t="s">
        <v>122</v>
      </c>
      <c r="B44">
        <f>SUM(20000/1000*0.04)</f>
        <v>0.8</v>
      </c>
    </row>
    <row r="45" spans="1:2" x14ac:dyDescent="0.25">
      <c r="A45" t="s">
        <v>123</v>
      </c>
      <c r="B45">
        <f>SUM(25000/1000*0.04)</f>
        <v>1</v>
      </c>
    </row>
    <row r="46" spans="1:2" x14ac:dyDescent="0.25">
      <c r="A46" t="s">
        <v>124</v>
      </c>
      <c r="B46">
        <f>SUM(30000/1000*0.04)</f>
        <v>1.2</v>
      </c>
    </row>
    <row r="47" spans="1:2" x14ac:dyDescent="0.25">
      <c r="A47" t="s">
        <v>125</v>
      </c>
      <c r="B47">
        <f>SUM(35000/1000*0.04)</f>
        <v>1.4000000000000001</v>
      </c>
    </row>
    <row r="48" spans="1:2" x14ac:dyDescent="0.25">
      <c r="A48" t="s">
        <v>126</v>
      </c>
      <c r="B48">
        <f>SUM(40000/1000*0.04)</f>
        <v>1.6</v>
      </c>
    </row>
    <row r="49" spans="1:2" x14ac:dyDescent="0.25">
      <c r="A49" t="s">
        <v>127</v>
      </c>
      <c r="B49">
        <f>SUM(45000/1000*0.04)</f>
        <v>1.8</v>
      </c>
    </row>
    <row r="50" spans="1:2" x14ac:dyDescent="0.25">
      <c r="A50" t="s">
        <v>128</v>
      </c>
      <c r="B50">
        <f>SUM(50000/1000*0.04)</f>
        <v>2</v>
      </c>
    </row>
    <row r="51" spans="1:2" x14ac:dyDescent="0.25">
      <c r="A51" t="s">
        <v>129</v>
      </c>
      <c r="B51">
        <f>SUM(55000/1000*0.04)</f>
        <v>2.2000000000000002</v>
      </c>
    </row>
    <row r="52" spans="1:2" x14ac:dyDescent="0.25">
      <c r="A52" t="s">
        <v>130</v>
      </c>
      <c r="B52">
        <f>SUM(60000/1000*0.04)</f>
        <v>2.4</v>
      </c>
    </row>
    <row r="53" spans="1:2" x14ac:dyDescent="0.25">
      <c r="A53" t="s">
        <v>131</v>
      </c>
      <c r="B53">
        <f>SUM(65000/1000*0.04)</f>
        <v>2.6</v>
      </c>
    </row>
    <row r="54" spans="1:2" x14ac:dyDescent="0.25">
      <c r="A54" t="s">
        <v>132</v>
      </c>
      <c r="B54">
        <f>SUM(70000/1000*0.04)</f>
        <v>2.8000000000000003</v>
      </c>
    </row>
    <row r="55" spans="1:2" x14ac:dyDescent="0.25">
      <c r="A55" t="s">
        <v>133</v>
      </c>
      <c r="B55">
        <f>SUM(75000/1000*0.04)</f>
        <v>3</v>
      </c>
    </row>
    <row r="56" spans="1:2" x14ac:dyDescent="0.25">
      <c r="A56" t="s">
        <v>134</v>
      </c>
      <c r="B56">
        <f>SUM(80000/1000*0.04)</f>
        <v>3.2</v>
      </c>
    </row>
    <row r="57" spans="1:2" x14ac:dyDescent="0.25">
      <c r="A57" t="s">
        <v>135</v>
      </c>
      <c r="B57">
        <f>SUM(85000/1000*0.04)</f>
        <v>3.4</v>
      </c>
    </row>
    <row r="58" spans="1:2" x14ac:dyDescent="0.25">
      <c r="A58" t="s">
        <v>136</v>
      </c>
      <c r="B58">
        <f>SUM(90000/1000*0.04)</f>
        <v>3.6</v>
      </c>
    </row>
    <row r="59" spans="1:2" x14ac:dyDescent="0.25">
      <c r="A59" t="s">
        <v>137</v>
      </c>
      <c r="B59">
        <f>SUM(95000/1000*0.04)</f>
        <v>3.8000000000000003</v>
      </c>
    </row>
    <row r="60" spans="1:2" x14ac:dyDescent="0.25">
      <c r="A60" t="s">
        <v>138</v>
      </c>
      <c r="B60">
        <f>SUM(100000/1000*0.04)</f>
        <v>4</v>
      </c>
    </row>
    <row r="61" spans="1:2" x14ac:dyDescent="0.25">
      <c r="A61" t="s">
        <v>139</v>
      </c>
      <c r="B61">
        <f>SUM(105000/1000*0.04)</f>
        <v>4.2</v>
      </c>
    </row>
    <row r="62" spans="1:2" x14ac:dyDescent="0.25">
      <c r="A62" t="s">
        <v>140</v>
      </c>
      <c r="B62">
        <f>SUM(110000/1000*0.04)</f>
        <v>4.4000000000000004</v>
      </c>
    </row>
    <row r="63" spans="1:2" x14ac:dyDescent="0.25">
      <c r="A63" t="s">
        <v>141</v>
      </c>
      <c r="B63">
        <f>SUM(115000/1000*0.04)</f>
        <v>4.6000000000000005</v>
      </c>
    </row>
    <row r="64" spans="1:2" x14ac:dyDescent="0.25">
      <c r="A64" t="s">
        <v>142</v>
      </c>
      <c r="B64">
        <f>SUM(120000/1000*0.04)</f>
        <v>4.8</v>
      </c>
    </row>
    <row r="65" spans="1:2" x14ac:dyDescent="0.25">
      <c r="A65" t="s">
        <v>143</v>
      </c>
      <c r="B65">
        <f>SUM(125000/1000*0.04)</f>
        <v>5</v>
      </c>
    </row>
    <row r="66" spans="1:2" x14ac:dyDescent="0.25">
      <c r="A66" t="s">
        <v>144</v>
      </c>
      <c r="B66">
        <f>SUM(130000/1000*0.04)</f>
        <v>5.2</v>
      </c>
    </row>
    <row r="67" spans="1:2" x14ac:dyDescent="0.25">
      <c r="A67" t="s">
        <v>145</v>
      </c>
      <c r="B67">
        <f>SUM(135000/1000*0.04)</f>
        <v>5.4</v>
      </c>
    </row>
    <row r="68" spans="1:2" x14ac:dyDescent="0.25">
      <c r="A68" t="s">
        <v>146</v>
      </c>
      <c r="B68">
        <f>SUM(140000/1000*0.04)</f>
        <v>5.6000000000000005</v>
      </c>
    </row>
    <row r="69" spans="1:2" x14ac:dyDescent="0.25">
      <c r="A69" t="s">
        <v>147</v>
      </c>
      <c r="B69">
        <f>SUM(145000/1000*0.04)</f>
        <v>5.8</v>
      </c>
    </row>
    <row r="70" spans="1:2" x14ac:dyDescent="0.25">
      <c r="A70" t="s">
        <v>148</v>
      </c>
      <c r="B70">
        <f>SUM(150000/1000*0.04)</f>
        <v>6</v>
      </c>
    </row>
    <row r="71" spans="1:2" x14ac:dyDescent="0.25">
      <c r="A71" t="s">
        <v>149</v>
      </c>
      <c r="B71">
        <f>SUM(155000/1000*0.04)</f>
        <v>6.2</v>
      </c>
    </row>
    <row r="72" spans="1:2" x14ac:dyDescent="0.25">
      <c r="A72" t="s">
        <v>150</v>
      </c>
      <c r="B72">
        <f>SUM(160000/1000*0.04)</f>
        <v>6.4</v>
      </c>
    </row>
    <row r="73" spans="1:2" x14ac:dyDescent="0.25">
      <c r="A73" t="s">
        <v>151</v>
      </c>
      <c r="B73">
        <f>SUM(165000/1000*0.04)</f>
        <v>6.6000000000000005</v>
      </c>
    </row>
    <row r="74" spans="1:2" x14ac:dyDescent="0.25">
      <c r="A74" t="s">
        <v>152</v>
      </c>
      <c r="B74">
        <f>SUM(170000/1000*0.04)</f>
        <v>6.8</v>
      </c>
    </row>
    <row r="75" spans="1:2" x14ac:dyDescent="0.25">
      <c r="A75" t="s">
        <v>153</v>
      </c>
      <c r="B75">
        <f>SUM(175000/1000*0.04)</f>
        <v>7</v>
      </c>
    </row>
    <row r="76" spans="1:2" x14ac:dyDescent="0.25">
      <c r="A76" t="s">
        <v>154</v>
      </c>
      <c r="B76">
        <f>SUM(180000/1000*0.04)</f>
        <v>7.2</v>
      </c>
    </row>
    <row r="77" spans="1:2" x14ac:dyDescent="0.25">
      <c r="A77" t="s">
        <v>155</v>
      </c>
      <c r="B77">
        <f>SUM(185000/1000*0.04)</f>
        <v>7.4</v>
      </c>
    </row>
    <row r="78" spans="1:2" x14ac:dyDescent="0.25">
      <c r="A78" t="s">
        <v>156</v>
      </c>
      <c r="B78">
        <f>SUM(190000/1000*0.04)</f>
        <v>7.6000000000000005</v>
      </c>
    </row>
    <row r="79" spans="1:2" x14ac:dyDescent="0.25">
      <c r="A79" t="s">
        <v>157</v>
      </c>
      <c r="B79">
        <f>SUM(195000/1000*0.04)</f>
        <v>7.8</v>
      </c>
    </row>
    <row r="80" spans="1:2" x14ac:dyDescent="0.25">
      <c r="A80" s="15" t="s">
        <v>158</v>
      </c>
      <c r="B80">
        <f>SUM(200000/1000*0.04)</f>
        <v>8</v>
      </c>
    </row>
    <row r="84" spans="2:2" x14ac:dyDescent="0.25">
      <c r="B84">
        <f>IF('Cost Estimator'!A20='AD&amp;D'!A2,'AD&amp;D'!B2,IF('Cost Estimator'!A20='AD&amp;D'!A3,'AD&amp;D'!B3,IF('Cost Estimator'!A20='AD&amp;D'!A4,'AD&amp;D'!B4,IF('Cost Estimator'!A20='AD&amp;D'!A5,'AD&amp;D'!B5,IF('Cost Estimator'!A20='AD&amp;D'!A6,'AD&amp;D'!B6,IF('Cost Estimator'!A20='AD&amp;D'!A7,'AD&amp;D'!B7,IF('Cost Estimator'!A20='AD&amp;D'!A8,'AD&amp;D'!B8,IF('Cost Estimator'!A20='AD&amp;D'!A9,'AD&amp;D'!B9,IF('Cost Estimator'!A20='AD&amp;D'!A10,'AD&amp;D'!B10,IF('Cost Estimator'!A20='AD&amp;D'!A11,'AD&amp;D'!B11,IF('Cost Estimator'!A20='AD&amp;D'!A12,'AD&amp;D'!B12,IF('Cost Estimator'!A20='AD&amp;D'!A13,'AD&amp;D'!B13,IF('Cost Estimator'!A20='AD&amp;D'!A14,'AD&amp;D'!B14,IF('Cost Estimator'!A20='AD&amp;D'!A15,'AD&amp;D'!B15,IF('Cost Estimator'!A20='AD&amp;D'!A16,'AD&amp;D'!B16,IF('Cost Estimator'!A20='AD&amp;D'!A17,'AD&amp;D'!B17,IF('Cost Estimator'!A20='AD&amp;D'!A18,'AD&amp;D'!B18,IF('Cost Estimator'!A20='AD&amp;D'!A19,'AD&amp;D'!B19,IF('Cost Estimator'!A20='AD&amp;D'!A20,'AD&amp;D'!B20,IF('Cost Estimator'!A20='AD&amp;D'!A21,'AD&amp;D'!B21,IF('Cost Estimator'!A20='AD&amp;D'!A22,'AD&amp;D'!B22,IF('Cost Estimator'!A20='AD&amp;D'!A23,'AD&amp;D'!B23,IF('Cost Estimator'!A20='AD&amp;D'!A24,'AD&amp;D'!B24,IF('Cost Estimator'!A20='AD&amp;D'!A25,'AD&amp;D'!B25,IF('Cost Estimator'!A20='AD&amp;D'!A26,'AD&amp;D'!B26,IF('Cost Estimator'!A20='AD&amp;D'!A27,'AD&amp;D'!B27,IF('Cost Estimator'!A20='AD&amp;D'!A28,'AD&amp;D'!B28,IF('Cost Estimator'!A20='AD&amp;D'!A29,'AD&amp;D'!B29,IF('Cost Estimator'!A20='AD&amp;D'!A30,'AD&amp;D'!B30,IF('Cost Estimator'!A20='AD&amp;D'!A31,'AD&amp;D'!B31,IF('Cost Estimator'!A20='AD&amp;D'!A32,'AD&amp;D'!B32,IF('Cost Estimator'!A20='AD&amp;D'!A33,'AD&amp;D'!B33,IF('Cost Estimator'!A20='AD&amp;D'!A34,'AD&amp;D'!B34,IF('Cost Estimator'!A20='AD&amp;D'!A35,'AD&amp;D'!B35,IF('Cost Estimator'!A20='AD&amp;D'!A36,'AD&amp;D'!B36,IF('Cost Estimator'!A20='AD&amp;D'!A37,'AD&amp;D'!B37,IF('Cost Estimator'!A20='AD&amp;D'!A38,'AD&amp;D'!B38,IF('Cost Estimator'!A20='AD&amp;D'!A39,'AD&amp;D'!B39,IF('Cost Estimator'!A20='AD&amp;D'!A40,'AD&amp;D'!B40,)))))))))))))))))))))))))))))))))))))))</f>
        <v>0</v>
      </c>
    </row>
    <row r="85" spans="2:2" x14ac:dyDescent="0.25">
      <c r="B85">
        <f>IF('Cost Estimator'!A21='AD&amp;D'!A42,'AD&amp;D'!B42,IF('Cost Estimator'!A21='AD&amp;D'!A43,'AD&amp;D'!B43,IF('Cost Estimator'!A21='AD&amp;D'!A44,'AD&amp;D'!B44,IF('Cost Estimator'!A21='AD&amp;D'!A45,'AD&amp;D'!B45,IF('Cost Estimator'!A21='AD&amp;D'!A46,'AD&amp;D'!B46,IF('Cost Estimator'!A21='AD&amp;D'!A47,'AD&amp;D'!B47,IF('Cost Estimator'!A21='AD&amp;D'!A48,'AD&amp;D'!B48,IF('Cost Estimator'!A21='AD&amp;D'!A49,'AD&amp;D'!B49,IF('Cost Estimator'!A21='AD&amp;D'!A50,'AD&amp;D'!B50,IF('Cost Estimator'!A21='AD&amp;D'!A51,'AD&amp;D'!B51,IF('Cost Estimator'!A21='AD&amp;D'!A52,'AD&amp;D'!B52,IF('Cost Estimator'!A21='AD&amp;D'!A53,'AD&amp;D'!B53,IF('Cost Estimator'!A21='AD&amp;D'!A54,'AD&amp;D'!B54,IF('Cost Estimator'!A21='AD&amp;D'!A55,'AD&amp;D'!B55,IF('Cost Estimator'!A21='AD&amp;D'!A56,'AD&amp;D'!B56,IF('Cost Estimator'!A21='AD&amp;D'!A57,'AD&amp;D'!B57,IF('Cost Estimator'!A21='AD&amp;D'!A58,'AD&amp;D'!B58,IF('Cost Estimator'!A21='AD&amp;D'!A59,'AD&amp;D'!B59,IF('Cost Estimator'!A21='AD&amp;D'!A60,'AD&amp;D'!B60,IF('Cost Estimator'!A21='AD&amp;D'!A61,'AD&amp;D'!B61,IF('Cost Estimator'!A21='AD&amp;D'!A62,'AD&amp;D'!B62,IF('Cost Estimator'!A21='AD&amp;D'!A63,'AD&amp;D'!B63,IF('Cost Estimator'!A21='AD&amp;D'!A64,'AD&amp;D'!B64,IF('Cost Estimator'!A21='AD&amp;D'!A65,'AD&amp;D'!B65,IF('Cost Estimator'!A21='AD&amp;D'!A66,'AD&amp;D'!B66,IF('Cost Estimator'!A21='AD&amp;D'!A67,'AD&amp;D'!B67,IF('Cost Estimator'!A21='AD&amp;D'!A68,'AD&amp;D'!B68,IF('Cost Estimator'!A21='AD&amp;D'!A69,'AD&amp;D'!B69,IF('Cost Estimator'!A21='AD&amp;D'!A70,'AD&amp;D'!B70,IF('Cost Estimator'!A21='AD&amp;D'!A71,'AD&amp;D'!B71,IF('Cost Estimator'!A21='AD&amp;D'!A72,'AD&amp;D'!B72,IF('Cost Estimator'!A21='AD&amp;D'!A73,'AD&amp;D'!B73,IF('Cost Estimator'!A21='AD&amp;D'!A74,'AD&amp;D'!B74,IF('Cost Estimator'!A21='AD&amp;D'!A75,'AD&amp;D'!B75,IF('Cost Estimator'!A21='AD&amp;D'!A76,'AD&amp;D'!B76,IF('Cost Estimator'!A21='AD&amp;D'!A77,'AD&amp;D'!B77,IF('Cost Estimator'!A21='AD&amp;D'!A78,'AD&amp;D'!B78,IF('Cost Estimator'!A21='AD&amp;D'!A79,'AD&amp;D'!B79,IF('Cost Estimator'!A21='AD&amp;D'!A80,'AD&amp;D'!B80,IF('Cost Estimator'!A21='AD&amp;D'!D1,'AD&amp;D'!E1))))))))))))))))))))))))))))))))))))))))</f>
        <v>0</v>
      </c>
    </row>
  </sheetData>
  <sheetProtection algorithmName="SHA-512" hashValue="RAfyUmwxXw2tf9Hbc1gwUaHj+ehECzHFO8SUSVveimwx2z0uJjjX31JHxbzzCBrEeL4ZBDT9p3dpQYcN7QsHHA==" saltValue="dfXCiNsqvGenGOqzdkcs6w=="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8"/>
  <sheetViews>
    <sheetView workbookViewId="0">
      <selection activeCell="G12" sqref="G12"/>
    </sheetView>
  </sheetViews>
  <sheetFormatPr defaultRowHeight="15" x14ac:dyDescent="0.25"/>
  <sheetData>
    <row r="1" spans="1:7" x14ac:dyDescent="0.25">
      <c r="A1" t="s">
        <v>26</v>
      </c>
      <c r="F1" t="s">
        <v>29</v>
      </c>
    </row>
    <row r="3" spans="1:7" x14ac:dyDescent="0.25">
      <c r="A3" t="s">
        <v>27</v>
      </c>
      <c r="F3" t="s">
        <v>30</v>
      </c>
    </row>
    <row r="4" spans="1:7" x14ac:dyDescent="0.25">
      <c r="A4" t="s">
        <v>28</v>
      </c>
      <c r="B4" s="13">
        <f>'Cost Estimator'!H3/12/1000*2.6</f>
        <v>0</v>
      </c>
      <c r="F4" t="s">
        <v>31</v>
      </c>
      <c r="G4" s="14">
        <f>'Cost Estimator'!H3/12/1000*6.8</f>
        <v>0</v>
      </c>
    </row>
    <row r="8" spans="1:7" x14ac:dyDescent="0.25">
      <c r="A8" s="14">
        <f>IF('Cost Estimator'!A25=Disability!A3,Disability!B3,IF('Cost Estimator'!A25=Disability!A4,Disability!B4))</f>
        <v>0</v>
      </c>
      <c r="F8" s="14">
        <f>IF('Cost Estimator'!A27=Disability!F3,Disability!G3,IF('Cost Estimator'!A27=Disability!F4,Disability!G4))</f>
        <v>0</v>
      </c>
    </row>
  </sheetData>
  <sheetProtection algorithmName="SHA-512" hashValue="0QNHF9GyJHaAfJCGguRZe4LHi/3oLncGGAmlZAGt98c1vHFxIblpM6R6N9O+j9BCh2VwyZGqlXBnET3P21q5+w==" saltValue="jKyPKehIZ5yBWsD3T3JvMw=="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Cost Estimator</vt:lpstr>
      <vt:lpstr>Health</vt:lpstr>
      <vt:lpstr>Vision</vt:lpstr>
      <vt:lpstr>Optional Term Life</vt:lpstr>
      <vt:lpstr>AD&amp;D</vt:lpstr>
      <vt:lpstr>Disability</vt:lpstr>
    </vt:vector>
  </TitlesOfParts>
  <Company>HCCS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HCCS</dc:creator>
  <cp:lastModifiedBy>nakesha.francis</cp:lastModifiedBy>
  <cp:lastPrinted>2016-04-01T16:22:59Z</cp:lastPrinted>
  <dcterms:created xsi:type="dcterms:W3CDTF">2016-03-31T21:41:34Z</dcterms:created>
  <dcterms:modified xsi:type="dcterms:W3CDTF">2022-12-15T18:53:35Z</dcterms:modified>
</cp:coreProperties>
</file>